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updateLinks="always"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J:\Consulting\Clients\NAIC\Documentation\Final Documents\"/>
    </mc:Choice>
  </mc:AlternateContent>
  <xr:revisionPtr revIDLastSave="0" documentId="8_{54E206F3-FC42-4032-8B28-B4C4DE4C004F}" xr6:coauthVersionLast="47" xr6:coauthVersionMax="47" xr10:uidLastSave="{00000000-0000-0000-0000-000000000000}"/>
  <bookViews>
    <workbookView xWindow="-110" yWindow="-110" windowWidth="25820" windowHeight="15500" xr2:uid="{1C264532-5AB7-4740-A778-433680BA15C4}"/>
  </bookViews>
  <sheets>
    <sheet name="Tsy Recalibration" sheetId="1" r:id="rId1"/>
    <sheet name="Treasury Curve" sheetId="4" r:id="rId2"/>
  </sheets>
  <definedNames>
    <definedName name="CIR1_Gam_Kap">'Tsy Recalibration'!$F$4</definedName>
    <definedName name="CIR1_Gamma">'Tsy Recalibration'!$E$4</definedName>
    <definedName name="CIR1_Kappa">'Tsy Recalibration'!$C$4</definedName>
    <definedName name="CIR1_Sigma">'Tsy Recalibration'!$D$4</definedName>
    <definedName name="CIR1_Theta">'Tsy Recalibration'!$B$4</definedName>
    <definedName name="CIR2_Gam_Kap">'Tsy Recalibration'!$F$5</definedName>
    <definedName name="CIR2_Gamma">'Tsy Recalibration'!$E$5</definedName>
    <definedName name="CIR2_Kappa">'Tsy Recalibration'!$C$5</definedName>
    <definedName name="CIR2_Sigma">'Tsy Recalibration'!$D$5</definedName>
    <definedName name="CIR2_Theta">'Tsy Recalibration'!$B$5</definedName>
    <definedName name="CIR3_Gam_Kap">'Tsy Recalibration'!$F$6</definedName>
    <definedName name="CIR3_Gamma">'Tsy Recalibration'!$E$6</definedName>
    <definedName name="CIR3_Kappa">'Tsy Recalibration'!$C$6</definedName>
    <definedName name="CIR3_Sigma">'Tsy Recalibration'!$D$6</definedName>
    <definedName name="CIR3_Theta">'Tsy Recalibration'!$B$6</definedName>
    <definedName name="DisplayStateVariables">'Tsy Recalibration'!$L$1</definedName>
    <definedName name="Shift">'Tsy Recalibration'!$B$9</definedName>
    <definedName name="StateVar1">'Tsy Recalibration'!$U$35</definedName>
    <definedName name="StateVar2">'Tsy Recalibration'!$U$36</definedName>
    <definedName name="StateVar3">'Tsy Recalibration'!$U$37</definedName>
    <definedName name="StateVariable1">'Tsy Recalibration'!$F$12</definedName>
    <definedName name="StateVariable2">'Tsy Recalibration'!$F$13</definedName>
    <definedName name="StateVariable3">'Tsy Recalibration'!$F$14</definedName>
    <definedName name="TsyRecalChartTitle">'Tsy Recalibration'!$B$1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67" i="1" l="1"/>
  <c r="X68" i="1" s="1"/>
  <c r="X69" i="1" s="1"/>
  <c r="X70" i="1" s="1"/>
  <c r="X71" i="1" s="1"/>
  <c r="X72" i="1" s="1"/>
  <c r="X73" i="1" s="1"/>
  <c r="X74" i="1" s="1"/>
  <c r="X75" i="1" s="1"/>
  <c r="X76" i="1" s="1"/>
  <c r="X77" i="1" s="1"/>
  <c r="X78" i="1" s="1"/>
  <c r="X79" i="1" s="1"/>
  <c r="X80" i="1" s="1"/>
  <c r="X81" i="1" s="1"/>
  <c r="X82" i="1" s="1"/>
  <c r="X83" i="1" s="1"/>
  <c r="X84" i="1" s="1"/>
  <c r="X85" i="1" s="1"/>
  <c r="X86" i="1" s="1"/>
  <c r="X87" i="1" s="1"/>
  <c r="X88" i="1" s="1"/>
  <c r="X89" i="1" s="1"/>
  <c r="X90" i="1" s="1"/>
  <c r="X91" i="1" s="1"/>
  <c r="X92" i="1" s="1"/>
  <c r="X93" i="1" s="1"/>
  <c r="X94" i="1" s="1"/>
  <c r="X95" i="1" s="1"/>
  <c r="X96" i="1" s="1"/>
  <c r="X97" i="1" s="1"/>
  <c r="X98" i="1" s="1"/>
  <c r="X99" i="1" s="1"/>
  <c r="X100" i="1" s="1"/>
  <c r="X101" i="1" s="1"/>
  <c r="X102" i="1" s="1"/>
  <c r="X103" i="1" s="1"/>
  <c r="X104" i="1" s="1"/>
  <c r="X105" i="1" s="1"/>
  <c r="X106" i="1" s="1"/>
  <c r="X49" i="1"/>
  <c r="X50" i="1" s="1"/>
  <c r="X51" i="1" s="1"/>
  <c r="X52" i="1" s="1"/>
  <c r="X53" i="1" s="1"/>
  <c r="X54" i="1" s="1"/>
  <c r="X55" i="1" s="1"/>
  <c r="X56" i="1" s="1"/>
  <c r="X57" i="1" s="1"/>
  <c r="X58" i="1" s="1"/>
  <c r="X59" i="1" s="1"/>
  <c r="X60" i="1" s="1"/>
  <c r="X61" i="1" s="1"/>
  <c r="X62" i="1" s="1"/>
  <c r="X63" i="1" s="1"/>
  <c r="X64" i="1" s="1"/>
  <c r="X65" i="1" s="1"/>
  <c r="X66" i="1" s="1"/>
  <c r="X45" i="1"/>
  <c r="V52" i="1"/>
  <c r="Y60" i="1" s="1"/>
  <c r="E12" i="1"/>
  <c r="B12" i="1"/>
  <c r="V51" i="1"/>
  <c r="Y56" i="1" s="1"/>
  <c r="V50" i="1"/>
  <c r="Y52" i="1" s="1"/>
  <c r="V49" i="1"/>
  <c r="Y50" i="1" s="1"/>
  <c r="V48" i="1"/>
  <c r="Y48" i="1" s="1"/>
  <c r="V47" i="1"/>
  <c r="Y47" i="1" s="1"/>
  <c r="V46" i="1"/>
  <c r="Y46" i="1" s="1"/>
  <c r="AB46" i="1" s="1"/>
  <c r="AC46" i="1" s="1"/>
  <c r="E6" i="1"/>
  <c r="F6" i="1" s="1"/>
  <c r="V45" i="1"/>
  <c r="Y45" i="1" s="1"/>
  <c r="AB45" i="1" s="1"/>
  <c r="AC45" i="1" s="1"/>
  <c r="L5" i="1"/>
  <c r="E5" i="1"/>
  <c r="E4" i="1"/>
  <c r="F4" i="1" s="1"/>
  <c r="X3" i="1"/>
  <c r="Y3" i="1" s="1"/>
  <c r="Z3" i="1" s="1"/>
  <c r="AA3" i="1" s="1"/>
  <c r="AB3" i="1" s="1"/>
  <c r="U3" i="1"/>
  <c r="AC3" i="1" l="1"/>
  <c r="X6" i="1"/>
  <c r="X8" i="1" s="1"/>
  <c r="Z6" i="1"/>
  <c r="Z8" i="1" s="1"/>
  <c r="W7" i="1"/>
  <c r="W9" i="1" s="1"/>
  <c r="Y6" i="1"/>
  <c r="Y8" i="1" s="1"/>
  <c r="V7" i="1"/>
  <c r="V9" i="1" s="1"/>
  <c r="W6" i="1"/>
  <c r="W8" i="1" s="1"/>
  <c r="V6" i="1"/>
  <c r="V8" i="1" s="1"/>
  <c r="AC17" i="1"/>
  <c r="AC19" i="1" s="1"/>
  <c r="U17" i="1"/>
  <c r="U19" i="1" s="1"/>
  <c r="AB17" i="1"/>
  <c r="AB19" i="1" s="1"/>
  <c r="AA16" i="1"/>
  <c r="AA18" i="1" s="1"/>
  <c r="AA17" i="1"/>
  <c r="AA19" i="1" s="1"/>
  <c r="Z16" i="1"/>
  <c r="Z18" i="1" s="1"/>
  <c r="Z17" i="1"/>
  <c r="Z19" i="1" s="1"/>
  <c r="Y16" i="1"/>
  <c r="Y18" i="1" s="1"/>
  <c r="W17" i="1"/>
  <c r="W19" i="1" s="1"/>
  <c r="V17" i="1"/>
  <c r="V19" i="1" s="1"/>
  <c r="AC16" i="1"/>
  <c r="AC18" i="1" s="1"/>
  <c r="AB16" i="1"/>
  <c r="AB18" i="1" s="1"/>
  <c r="Y17" i="1"/>
  <c r="Y19" i="1" s="1"/>
  <c r="V16" i="1"/>
  <c r="V18" i="1" s="1"/>
  <c r="U7" i="1"/>
  <c r="U9" i="1" s="1"/>
  <c r="Y49" i="1"/>
  <c r="F12" i="1"/>
  <c r="X7" i="1"/>
  <c r="X9" i="1" s="1"/>
  <c r="Y54" i="1"/>
  <c r="Y53" i="1" s="1"/>
  <c r="U16" i="1"/>
  <c r="U18" i="1" s="1"/>
  <c r="AA6" i="1"/>
  <c r="AA8" i="1" s="1"/>
  <c r="AB47" i="1"/>
  <c r="AC47" i="1" s="1"/>
  <c r="Z47" i="1"/>
  <c r="AA47" i="1" s="1"/>
  <c r="Y7" i="1"/>
  <c r="Y9" i="1" s="1"/>
  <c r="W16" i="1"/>
  <c r="W18" i="1" s="1"/>
  <c r="V54" i="1"/>
  <c r="Y86" i="1" s="1"/>
  <c r="F5" i="1"/>
  <c r="X17" i="1"/>
  <c r="X19" i="1" s="1"/>
  <c r="AB6" i="1"/>
  <c r="AB8" i="1" s="1"/>
  <c r="Z7" i="1"/>
  <c r="Z9" i="1" s="1"/>
  <c r="V53" i="1"/>
  <c r="Y66" i="1" s="1"/>
  <c r="X16" i="1"/>
  <c r="X18" i="1" s="1"/>
  <c r="Y51" i="1"/>
  <c r="Y62" i="1"/>
  <c r="Y61" i="1"/>
  <c r="AB7" i="1"/>
  <c r="AB9" i="1" s="1"/>
  <c r="U6" i="1"/>
  <c r="U8" i="1" s="1"/>
  <c r="AC6" i="1"/>
  <c r="AC8" i="1" s="1"/>
  <c r="AA7" i="1"/>
  <c r="AA9" i="1" s="1"/>
  <c r="Y58" i="1"/>
  <c r="Y57" i="1" s="1"/>
  <c r="V55" i="1"/>
  <c r="Y106" i="1" s="1"/>
  <c r="U12" i="1" l="1"/>
  <c r="U14" i="1" s="1"/>
  <c r="Z11" i="1"/>
  <c r="Z13" i="1" s="1"/>
  <c r="Z22" i="1" s="1"/>
  <c r="V12" i="1"/>
  <c r="V14" i="1" s="1"/>
  <c r="U11" i="1"/>
  <c r="U13" i="1" s="1"/>
  <c r="U22" i="1" s="1"/>
  <c r="X12" i="1"/>
  <c r="X14" i="1" s="1"/>
  <c r="AA12" i="1"/>
  <c r="AA14" i="1" s="1"/>
  <c r="Z12" i="1"/>
  <c r="Z14" i="1" s="1"/>
  <c r="AC11" i="1"/>
  <c r="AC13" i="1" s="1"/>
  <c r="AC22" i="1" s="1"/>
  <c r="X11" i="1"/>
  <c r="X13" i="1" s="1"/>
  <c r="X22" i="1" s="1"/>
  <c r="W11" i="1"/>
  <c r="W13" i="1" s="1"/>
  <c r="W22" i="1" s="1"/>
  <c r="Y11" i="1"/>
  <c r="Y13" i="1" s="1"/>
  <c r="Y22" i="1" s="1"/>
  <c r="AC12" i="1"/>
  <c r="AC14" i="1" s="1"/>
  <c r="W12" i="1"/>
  <c r="W14" i="1" s="1"/>
  <c r="Y12" i="1"/>
  <c r="Y14" i="1" s="1"/>
  <c r="Z48" i="1"/>
  <c r="AB48" i="1" s="1"/>
  <c r="AC48" i="1" s="1"/>
  <c r="Y64" i="1"/>
  <c r="Y55" i="1"/>
  <c r="AA11" i="1"/>
  <c r="AA13" i="1" s="1"/>
  <c r="AA22" i="1" s="1"/>
  <c r="Y76" i="1"/>
  <c r="Y70" i="1"/>
  <c r="Y71" i="1"/>
  <c r="Y72" i="1"/>
  <c r="Y73" i="1"/>
  <c r="Y74" i="1"/>
  <c r="Y67" i="1"/>
  <c r="Y69" i="1"/>
  <c r="Y68" i="1"/>
  <c r="Y75" i="1"/>
  <c r="AB11" i="1"/>
  <c r="AB13" i="1" s="1"/>
  <c r="AB22" i="1" s="1"/>
  <c r="AD3" i="1"/>
  <c r="AC7" i="1"/>
  <c r="AC9" i="1" s="1"/>
  <c r="Y59" i="1"/>
  <c r="V11" i="1"/>
  <c r="V13" i="1" s="1"/>
  <c r="V22" i="1" s="1"/>
  <c r="Y96" i="1"/>
  <c r="Y92" i="1"/>
  <c r="Y95" i="1"/>
  <c r="Y91" i="1"/>
  <c r="AB12" i="1"/>
  <c r="AB14" i="1" s="1"/>
  <c r="Y104" i="1" l="1"/>
  <c r="Y100" i="1"/>
  <c r="Y105" i="1"/>
  <c r="Y101" i="1"/>
  <c r="Y97" i="1"/>
  <c r="Y102" i="1"/>
  <c r="Y98" i="1"/>
  <c r="Y99" i="1"/>
  <c r="Y103" i="1"/>
  <c r="Y90" i="1"/>
  <c r="AE3" i="1"/>
  <c r="AD17" i="1"/>
  <c r="AD19" i="1" s="1"/>
  <c r="AD16" i="1"/>
  <c r="AD18" i="1" s="1"/>
  <c r="AD6" i="1"/>
  <c r="AD8" i="1" s="1"/>
  <c r="AD12" i="1"/>
  <c r="AD14" i="1" s="1"/>
  <c r="AD7" i="1"/>
  <c r="AD9" i="1" s="1"/>
  <c r="Y94" i="1"/>
  <c r="AA48" i="1"/>
  <c r="Y89" i="1"/>
  <c r="Y93" i="1"/>
  <c r="Y65" i="1"/>
  <c r="Y87" i="1"/>
  <c r="Y88" i="1"/>
  <c r="AD11" i="1"/>
  <c r="AD13" i="1" s="1"/>
  <c r="Y84" i="1"/>
  <c r="Y80" i="1"/>
  <c r="Y85" i="1"/>
  <c r="Y81" i="1"/>
  <c r="Y77" i="1"/>
  <c r="Y82" i="1"/>
  <c r="Y78" i="1"/>
  <c r="Y79" i="1"/>
  <c r="Y83" i="1"/>
  <c r="Y63" i="1"/>
  <c r="AD22" i="1" l="1"/>
  <c r="AA49" i="1"/>
  <c r="Z49" i="1"/>
  <c r="AB49" i="1" s="1"/>
  <c r="AC49" i="1" s="1"/>
  <c r="AF3" i="1"/>
  <c r="AE7" i="1"/>
  <c r="AE9" i="1" s="1"/>
  <c r="AE12" i="1"/>
  <c r="AE14" i="1" s="1"/>
  <c r="AE16" i="1"/>
  <c r="AE18" i="1" s="1"/>
  <c r="AE17" i="1"/>
  <c r="AE19" i="1" s="1"/>
  <c r="AE6" i="1"/>
  <c r="AE8" i="1" s="1"/>
  <c r="AE11" i="1"/>
  <c r="AE13" i="1" s="1"/>
  <c r="AE22" i="1" l="1"/>
  <c r="AF7" i="1"/>
  <c r="AF9" i="1" s="1"/>
  <c r="AG3" i="1"/>
  <c r="AF16" i="1"/>
  <c r="AF18" i="1" s="1"/>
  <c r="AF6" i="1"/>
  <c r="AF8" i="1" s="1"/>
  <c r="AF17" i="1"/>
  <c r="AF19" i="1" s="1"/>
  <c r="AF11" i="1"/>
  <c r="AF13" i="1" s="1"/>
  <c r="AF12" i="1"/>
  <c r="AF14" i="1" s="1"/>
  <c r="Z50" i="1"/>
  <c r="AB50" i="1" s="1"/>
  <c r="AC50" i="1" s="1"/>
  <c r="AF22" i="1" l="1"/>
  <c r="AA50" i="1"/>
  <c r="AH3" i="1"/>
  <c r="AG17" i="1"/>
  <c r="AG19" i="1" s="1"/>
  <c r="AG6" i="1"/>
  <c r="AG8" i="1" s="1"/>
  <c r="AG16" i="1"/>
  <c r="AG18" i="1" s="1"/>
  <c r="AG12" i="1"/>
  <c r="AG14" i="1" s="1"/>
  <c r="AG7" i="1"/>
  <c r="AG9" i="1" s="1"/>
  <c r="AG11" i="1"/>
  <c r="AG13" i="1" s="1"/>
  <c r="Z51" i="1"/>
  <c r="AB51" i="1" s="1"/>
  <c r="AC51" i="1" s="1"/>
  <c r="AG22" i="1" l="1"/>
  <c r="AA51" i="1"/>
  <c r="AI3" i="1"/>
  <c r="AH12" i="1"/>
  <c r="AH14" i="1" s="1"/>
  <c r="AH17" i="1"/>
  <c r="AH19" i="1" s="1"/>
  <c r="AH7" i="1"/>
  <c r="AH9" i="1" s="1"/>
  <c r="AH16" i="1"/>
  <c r="AH18" i="1" s="1"/>
  <c r="AH6" i="1"/>
  <c r="AH8" i="1" s="1"/>
  <c r="AH11" i="1"/>
  <c r="AH13" i="1" s="1"/>
  <c r="Z52" i="1"/>
  <c r="AB52" i="1" s="1"/>
  <c r="AC52" i="1" s="1"/>
  <c r="AH22" i="1" l="1"/>
  <c r="AA52" i="1"/>
  <c r="AJ3" i="1"/>
  <c r="AI16" i="1"/>
  <c r="AI18" i="1" s="1"/>
  <c r="AI12" i="1"/>
  <c r="AI14" i="1" s="1"/>
  <c r="AI7" i="1"/>
  <c r="AI9" i="1" s="1"/>
  <c r="AI6" i="1"/>
  <c r="AI8" i="1" s="1"/>
  <c r="AI17" i="1"/>
  <c r="AI19" i="1" s="1"/>
  <c r="AI11" i="1"/>
  <c r="AI13" i="1" s="1"/>
  <c r="Z53" i="1"/>
  <c r="AB53" i="1" s="1"/>
  <c r="AC53" i="1" s="1"/>
  <c r="AI22" i="1" l="1"/>
  <c r="AA53" i="1"/>
  <c r="AK3" i="1"/>
  <c r="AJ7" i="1"/>
  <c r="AJ9" i="1" s="1"/>
  <c r="AJ16" i="1"/>
  <c r="AJ18" i="1" s="1"/>
  <c r="AJ17" i="1"/>
  <c r="AJ19" i="1" s="1"/>
  <c r="AJ6" i="1"/>
  <c r="AJ8" i="1" s="1"/>
  <c r="AJ12" i="1"/>
  <c r="AJ14" i="1" s="1"/>
  <c r="AJ11" i="1"/>
  <c r="AJ13" i="1" s="1"/>
  <c r="AJ22" i="1" l="1"/>
  <c r="AL3" i="1"/>
  <c r="AK16" i="1"/>
  <c r="AK18" i="1" s="1"/>
  <c r="AK6" i="1"/>
  <c r="AK8" i="1" s="1"/>
  <c r="AK17" i="1"/>
  <c r="AK19" i="1" s="1"/>
  <c r="AK12" i="1"/>
  <c r="AK14" i="1" s="1"/>
  <c r="AK7" i="1"/>
  <c r="AK9" i="1" s="1"/>
  <c r="AK11" i="1"/>
  <c r="AK13" i="1" s="1"/>
  <c r="Z54" i="1"/>
  <c r="AB54" i="1" s="1"/>
  <c r="AC54" i="1" s="1"/>
  <c r="AK22" i="1" l="1"/>
  <c r="AA54" i="1"/>
  <c r="Z55" i="1" s="1"/>
  <c r="AB55" i="1" s="1"/>
  <c r="AC55" i="1" s="1"/>
  <c r="AM3" i="1"/>
  <c r="AL17" i="1"/>
  <c r="AL19" i="1" s="1"/>
  <c r="AL12" i="1"/>
  <c r="AL14" i="1" s="1"/>
  <c r="AL7" i="1"/>
  <c r="AL9" i="1" s="1"/>
  <c r="AL11" i="1"/>
  <c r="AL13" i="1" s="1"/>
  <c r="AL6" i="1"/>
  <c r="AL8" i="1" s="1"/>
  <c r="AL16" i="1"/>
  <c r="AL18" i="1" s="1"/>
  <c r="AL22" i="1" l="1"/>
  <c r="AN3" i="1"/>
  <c r="AM7" i="1"/>
  <c r="AM9" i="1" s="1"/>
  <c r="AM17" i="1"/>
  <c r="AM19" i="1" s="1"/>
  <c r="AM12" i="1"/>
  <c r="AM14" i="1" s="1"/>
  <c r="AM6" i="1"/>
  <c r="AM8" i="1" s="1"/>
  <c r="AM16" i="1"/>
  <c r="AM18" i="1" s="1"/>
  <c r="AM11" i="1"/>
  <c r="AM13" i="1" s="1"/>
  <c r="AA55" i="1"/>
  <c r="AM22" i="1" l="1"/>
  <c r="AO3" i="1"/>
  <c r="AN12" i="1"/>
  <c r="AN14" i="1" s="1"/>
  <c r="AN16" i="1"/>
  <c r="AN18" i="1" s="1"/>
  <c r="AN6" i="1"/>
  <c r="AN8" i="1" s="1"/>
  <c r="AN17" i="1"/>
  <c r="AN19" i="1" s="1"/>
  <c r="AN7" i="1"/>
  <c r="AN9" i="1" s="1"/>
  <c r="AN11" i="1"/>
  <c r="AN13" i="1" s="1"/>
  <c r="Z56" i="1"/>
  <c r="AB56" i="1" s="1"/>
  <c r="AC56" i="1" s="1"/>
  <c r="F13" i="1" s="1"/>
  <c r="AN22" i="1" l="1"/>
  <c r="AA56" i="1"/>
  <c r="Z57" i="1" s="1"/>
  <c r="AB57" i="1" s="1"/>
  <c r="AC57" i="1" s="1"/>
  <c r="AP3" i="1"/>
  <c r="AO7" i="1"/>
  <c r="AO9" i="1" s="1"/>
  <c r="AO17" i="1"/>
  <c r="AO19" i="1" s="1"/>
  <c r="AO6" i="1"/>
  <c r="AO8" i="1" s="1"/>
  <c r="AO16" i="1"/>
  <c r="AO18" i="1" s="1"/>
  <c r="AO12" i="1"/>
  <c r="AO14" i="1" s="1"/>
  <c r="AO11" i="1"/>
  <c r="AO13" i="1" s="1"/>
  <c r="AO22" i="1" l="1"/>
  <c r="AQ3" i="1"/>
  <c r="AP7" i="1"/>
  <c r="AP9" i="1" s="1"/>
  <c r="AP6" i="1"/>
  <c r="AP8" i="1" s="1"/>
  <c r="AP12" i="1"/>
  <c r="AP14" i="1" s="1"/>
  <c r="AP16" i="1"/>
  <c r="AP18" i="1" s="1"/>
  <c r="AP17" i="1"/>
  <c r="AP19" i="1" s="1"/>
  <c r="AP11" i="1"/>
  <c r="AP13" i="1" s="1"/>
  <c r="AA57" i="1"/>
  <c r="AP22" i="1" l="1"/>
  <c r="Z58" i="1"/>
  <c r="AB58" i="1" s="1"/>
  <c r="AC58" i="1" s="1"/>
  <c r="AQ7" i="1"/>
  <c r="AQ9" i="1" s="1"/>
  <c r="AR3" i="1"/>
  <c r="AQ12" i="1"/>
  <c r="AQ14" i="1" s="1"/>
  <c r="AQ16" i="1"/>
  <c r="AQ18" i="1" s="1"/>
  <c r="AQ17" i="1"/>
  <c r="AQ19" i="1" s="1"/>
  <c r="AQ6" i="1"/>
  <c r="AQ8" i="1" s="1"/>
  <c r="AQ11" i="1"/>
  <c r="AQ13" i="1" s="1"/>
  <c r="AQ22" i="1" l="1"/>
  <c r="AR12" i="1"/>
  <c r="AR14" i="1" s="1"/>
  <c r="AS3" i="1"/>
  <c r="AR17" i="1"/>
  <c r="AR19" i="1" s="1"/>
  <c r="AR6" i="1"/>
  <c r="AR8" i="1" s="1"/>
  <c r="AR7" i="1"/>
  <c r="AR9" i="1" s="1"/>
  <c r="AR16" i="1"/>
  <c r="AR18" i="1" s="1"/>
  <c r="AR11" i="1"/>
  <c r="AR13" i="1" s="1"/>
  <c r="AA58" i="1"/>
  <c r="AR22" i="1" l="1"/>
  <c r="AT3" i="1"/>
  <c r="AS7" i="1"/>
  <c r="AS9" i="1" s="1"/>
  <c r="AS6" i="1"/>
  <c r="AS8" i="1" s="1"/>
  <c r="AS12" i="1"/>
  <c r="AS14" i="1" s="1"/>
  <c r="AS17" i="1"/>
  <c r="AS19" i="1" s="1"/>
  <c r="AS16" i="1"/>
  <c r="AS18" i="1" s="1"/>
  <c r="AS11" i="1"/>
  <c r="AS13" i="1" s="1"/>
  <c r="Z59" i="1"/>
  <c r="AB59" i="1" s="1"/>
  <c r="AC59" i="1" s="1"/>
  <c r="AS22" i="1" l="1"/>
  <c r="AU3" i="1"/>
  <c r="AT17" i="1"/>
  <c r="AT19" i="1" s="1"/>
  <c r="AT12" i="1"/>
  <c r="AT14" i="1" s="1"/>
  <c r="AT16" i="1"/>
  <c r="AT18" i="1" s="1"/>
  <c r="AT11" i="1"/>
  <c r="AT13" i="1" s="1"/>
  <c r="AT7" i="1"/>
  <c r="AT9" i="1" s="1"/>
  <c r="AT6" i="1"/>
  <c r="AT8" i="1" s="1"/>
  <c r="AA59" i="1"/>
  <c r="AT22" i="1" l="1"/>
  <c r="Z60" i="1"/>
  <c r="AB60" i="1" s="1"/>
  <c r="AC60" i="1" s="1"/>
  <c r="AV3" i="1"/>
  <c r="AU17" i="1"/>
  <c r="AU19" i="1" s="1"/>
  <c r="AU16" i="1"/>
  <c r="AU18" i="1" s="1"/>
  <c r="AU12" i="1"/>
  <c r="AU14" i="1" s="1"/>
  <c r="AU7" i="1"/>
  <c r="AU9" i="1" s="1"/>
  <c r="AU6" i="1"/>
  <c r="AU8" i="1" s="1"/>
  <c r="AU11" i="1"/>
  <c r="AU13" i="1" s="1"/>
  <c r="AU22" i="1" l="1"/>
  <c r="AW3" i="1"/>
  <c r="AV12" i="1"/>
  <c r="AV14" i="1" s="1"/>
  <c r="AV6" i="1"/>
  <c r="AV8" i="1" s="1"/>
  <c r="AV17" i="1"/>
  <c r="AV19" i="1" s="1"/>
  <c r="AV7" i="1"/>
  <c r="AV9" i="1" s="1"/>
  <c r="AV16" i="1"/>
  <c r="AV18" i="1" s="1"/>
  <c r="AV11" i="1"/>
  <c r="AV13" i="1" s="1"/>
  <c r="AA60" i="1"/>
  <c r="AV22" i="1" l="1"/>
  <c r="AX3" i="1"/>
  <c r="AW7" i="1"/>
  <c r="AW9" i="1" s="1"/>
  <c r="AW17" i="1"/>
  <c r="AW19" i="1" s="1"/>
  <c r="AW6" i="1"/>
  <c r="AW8" i="1" s="1"/>
  <c r="AW12" i="1"/>
  <c r="AW14" i="1" s="1"/>
  <c r="AW16" i="1"/>
  <c r="AW18" i="1" s="1"/>
  <c r="AW11" i="1"/>
  <c r="AW13" i="1" s="1"/>
  <c r="Z61" i="1"/>
  <c r="AB61" i="1" s="1"/>
  <c r="AC61" i="1" s="1"/>
  <c r="AW22" i="1" l="1"/>
  <c r="AA61" i="1"/>
  <c r="AY3" i="1"/>
  <c r="AX7" i="1"/>
  <c r="AX9" i="1" s="1"/>
  <c r="AX12" i="1"/>
  <c r="AX14" i="1" s="1"/>
  <c r="AX16" i="1"/>
  <c r="AX18" i="1" s="1"/>
  <c r="AX17" i="1"/>
  <c r="AX19" i="1" s="1"/>
  <c r="AX6" i="1"/>
  <c r="AX8" i="1" s="1"/>
  <c r="AX11" i="1"/>
  <c r="AX13" i="1" s="1"/>
  <c r="AX22" i="1" l="1"/>
  <c r="AZ3" i="1"/>
  <c r="AY12" i="1"/>
  <c r="AY14" i="1" s="1"/>
  <c r="AY7" i="1"/>
  <c r="AY9" i="1" s="1"/>
  <c r="AY17" i="1"/>
  <c r="AY19" i="1" s="1"/>
  <c r="AY6" i="1"/>
  <c r="AY8" i="1" s="1"/>
  <c r="AY16" i="1"/>
  <c r="AY18" i="1" s="1"/>
  <c r="AY11" i="1"/>
  <c r="AY13" i="1" s="1"/>
  <c r="Z62" i="1"/>
  <c r="AB62" i="1" s="1"/>
  <c r="AC62" i="1" s="1"/>
  <c r="AY22" i="1" l="1"/>
  <c r="BA3" i="1"/>
  <c r="AZ6" i="1"/>
  <c r="AZ8" i="1" s="1"/>
  <c r="AZ16" i="1"/>
  <c r="AZ18" i="1" s="1"/>
  <c r="AZ7" i="1"/>
  <c r="AZ9" i="1" s="1"/>
  <c r="AZ17" i="1"/>
  <c r="AZ19" i="1" s="1"/>
  <c r="AZ12" i="1"/>
  <c r="AZ14" i="1" s="1"/>
  <c r="AZ11" i="1"/>
  <c r="AZ13" i="1" s="1"/>
  <c r="AA62" i="1"/>
  <c r="AZ22" i="1" l="1"/>
  <c r="BA7" i="1"/>
  <c r="BA9" i="1" s="1"/>
  <c r="BB3" i="1"/>
  <c r="BA6" i="1"/>
  <c r="BA8" i="1" s="1"/>
  <c r="BA12" i="1"/>
  <c r="BA14" i="1" s="1"/>
  <c r="BA16" i="1"/>
  <c r="BA18" i="1" s="1"/>
  <c r="BA17" i="1"/>
  <c r="BA19" i="1" s="1"/>
  <c r="BA11" i="1"/>
  <c r="BA13" i="1" s="1"/>
  <c r="Z63" i="1"/>
  <c r="AB63" i="1" s="1"/>
  <c r="AC63" i="1" s="1"/>
  <c r="BA22" i="1" l="1"/>
  <c r="AA63" i="1"/>
  <c r="Z64" i="1" s="1"/>
  <c r="AB64" i="1" s="1"/>
  <c r="AC64" i="1" s="1"/>
  <c r="BB7" i="1"/>
  <c r="BB9" i="1" s="1"/>
  <c r="BC3" i="1"/>
  <c r="BB12" i="1"/>
  <c r="BB14" i="1" s="1"/>
  <c r="BB6" i="1"/>
  <c r="BB8" i="1" s="1"/>
  <c r="BB17" i="1"/>
  <c r="BB19" i="1" s="1"/>
  <c r="BB16" i="1"/>
  <c r="BB18" i="1" s="1"/>
  <c r="BB11" i="1"/>
  <c r="BB13" i="1" s="1"/>
  <c r="BB22" i="1" l="1"/>
  <c r="BD3" i="1"/>
  <c r="BC12" i="1"/>
  <c r="BC14" i="1" s="1"/>
  <c r="BC7" i="1"/>
  <c r="BC9" i="1" s="1"/>
  <c r="BC6" i="1"/>
  <c r="BC8" i="1" s="1"/>
  <c r="BC17" i="1"/>
  <c r="BC19" i="1" s="1"/>
  <c r="BC16" i="1"/>
  <c r="BC18" i="1" s="1"/>
  <c r="BC11" i="1"/>
  <c r="BC13" i="1" s="1"/>
  <c r="AA64" i="1"/>
  <c r="BC22" i="1" l="1"/>
  <c r="Z65" i="1"/>
  <c r="AB65" i="1" s="1"/>
  <c r="AC65" i="1" s="1"/>
  <c r="BE3" i="1"/>
  <c r="BD6" i="1"/>
  <c r="BD8" i="1" s="1"/>
  <c r="BD17" i="1"/>
  <c r="BD19" i="1" s="1"/>
  <c r="BD7" i="1"/>
  <c r="BD9" i="1" s="1"/>
  <c r="BD12" i="1"/>
  <c r="BD14" i="1" s="1"/>
  <c r="BD16" i="1"/>
  <c r="BD18" i="1" s="1"/>
  <c r="BD11" i="1"/>
  <c r="BD13" i="1" s="1"/>
  <c r="BD22" i="1" l="1"/>
  <c r="BF3" i="1"/>
  <c r="BE7" i="1"/>
  <c r="BE9" i="1" s="1"/>
  <c r="BE16" i="1"/>
  <c r="BE18" i="1" s="1"/>
  <c r="BE17" i="1"/>
  <c r="BE19" i="1" s="1"/>
  <c r="BE12" i="1"/>
  <c r="BE14" i="1" s="1"/>
  <c r="BE6" i="1"/>
  <c r="BE8" i="1" s="1"/>
  <c r="BE11" i="1"/>
  <c r="BE13" i="1" s="1"/>
  <c r="AA65" i="1"/>
  <c r="BE22" i="1" l="1"/>
  <c r="BG3" i="1"/>
  <c r="BF16" i="1"/>
  <c r="BF18" i="1" s="1"/>
  <c r="BF17" i="1"/>
  <c r="BF19" i="1" s="1"/>
  <c r="BF7" i="1"/>
  <c r="BF9" i="1" s="1"/>
  <c r="BF12" i="1"/>
  <c r="BF14" i="1" s="1"/>
  <c r="BF6" i="1"/>
  <c r="BF8" i="1" s="1"/>
  <c r="BF11" i="1"/>
  <c r="BF13" i="1" s="1"/>
  <c r="Z66" i="1"/>
  <c r="AB66" i="1" s="1"/>
  <c r="AC66" i="1" s="1"/>
  <c r="BF22" i="1" l="1"/>
  <c r="BH3" i="1"/>
  <c r="BG17" i="1"/>
  <c r="BG19" i="1" s="1"/>
  <c r="BG12" i="1"/>
  <c r="BG14" i="1" s="1"/>
  <c r="BG7" i="1"/>
  <c r="BG9" i="1" s="1"/>
  <c r="BG6" i="1"/>
  <c r="BG8" i="1" s="1"/>
  <c r="BG16" i="1"/>
  <c r="BG18" i="1" s="1"/>
  <c r="BG11" i="1"/>
  <c r="BG13" i="1" s="1"/>
  <c r="AA66" i="1"/>
  <c r="BG22" i="1" l="1"/>
  <c r="BH12" i="1"/>
  <c r="BH14" i="1" s="1"/>
  <c r="BI3" i="1"/>
  <c r="BH7" i="1"/>
  <c r="BH9" i="1" s="1"/>
  <c r="BH16" i="1"/>
  <c r="BH18" i="1" s="1"/>
  <c r="BH6" i="1"/>
  <c r="BH8" i="1" s="1"/>
  <c r="BH17" i="1"/>
  <c r="BH19" i="1" s="1"/>
  <c r="BH11" i="1"/>
  <c r="BH13" i="1" s="1"/>
  <c r="Z67" i="1"/>
  <c r="AB67" i="1" s="1"/>
  <c r="AC67" i="1" s="1"/>
  <c r="BH22" i="1" l="1"/>
  <c r="BJ3" i="1"/>
  <c r="BI7" i="1"/>
  <c r="BI9" i="1" s="1"/>
  <c r="BI12" i="1"/>
  <c r="BI14" i="1" s="1"/>
  <c r="BI16" i="1"/>
  <c r="BI18" i="1" s="1"/>
  <c r="BI6" i="1"/>
  <c r="BI8" i="1" s="1"/>
  <c r="BI17" i="1"/>
  <c r="BI19" i="1" s="1"/>
  <c r="BI11" i="1"/>
  <c r="BI13" i="1" s="1"/>
  <c r="AA67" i="1"/>
  <c r="BI22" i="1" l="1"/>
  <c r="BK3" i="1"/>
  <c r="BJ17" i="1"/>
  <c r="BJ19" i="1" s="1"/>
  <c r="BJ6" i="1"/>
  <c r="BJ8" i="1" s="1"/>
  <c r="BJ7" i="1"/>
  <c r="BJ9" i="1" s="1"/>
  <c r="BJ11" i="1"/>
  <c r="BJ13" i="1" s="1"/>
  <c r="BJ16" i="1"/>
  <c r="BJ18" i="1" s="1"/>
  <c r="BJ12" i="1"/>
  <c r="BJ14" i="1" s="1"/>
  <c r="Z68" i="1"/>
  <c r="AB68" i="1" s="1"/>
  <c r="AC68" i="1" s="1"/>
  <c r="BJ22" i="1" l="1"/>
  <c r="BL3" i="1"/>
  <c r="BK17" i="1"/>
  <c r="BK19" i="1" s="1"/>
  <c r="BK7" i="1"/>
  <c r="BK9" i="1" s="1"/>
  <c r="BK16" i="1"/>
  <c r="BK18" i="1" s="1"/>
  <c r="BK6" i="1"/>
  <c r="BK8" i="1" s="1"/>
  <c r="BK12" i="1"/>
  <c r="BK14" i="1" s="1"/>
  <c r="BK11" i="1"/>
  <c r="BK13" i="1" s="1"/>
  <c r="AA68" i="1"/>
  <c r="BK22" i="1" l="1"/>
  <c r="BM3" i="1"/>
  <c r="BL7" i="1"/>
  <c r="BL9" i="1" s="1"/>
  <c r="BL17" i="1"/>
  <c r="BL19" i="1" s="1"/>
  <c r="BL12" i="1"/>
  <c r="BL14" i="1" s="1"/>
  <c r="BL16" i="1"/>
  <c r="BL18" i="1" s="1"/>
  <c r="BL6" i="1"/>
  <c r="BL8" i="1" s="1"/>
  <c r="BL11" i="1"/>
  <c r="BL13" i="1" s="1"/>
  <c r="Z69" i="1"/>
  <c r="AB69" i="1" s="1"/>
  <c r="AC69" i="1" s="1"/>
  <c r="BL22" i="1" l="1"/>
  <c r="BN3" i="1"/>
  <c r="BM6" i="1"/>
  <c r="BM8" i="1" s="1"/>
  <c r="BM16" i="1"/>
  <c r="BM18" i="1" s="1"/>
  <c r="BM7" i="1"/>
  <c r="BM9" i="1" s="1"/>
  <c r="BM12" i="1"/>
  <c r="BM14" i="1" s="1"/>
  <c r="BM17" i="1"/>
  <c r="BM19" i="1" s="1"/>
  <c r="BM11" i="1"/>
  <c r="BM13" i="1" s="1"/>
  <c r="AA69" i="1"/>
  <c r="BM22" i="1" l="1"/>
  <c r="BO3" i="1"/>
  <c r="BN16" i="1"/>
  <c r="BN18" i="1" s="1"/>
  <c r="BN17" i="1"/>
  <c r="BN19" i="1" s="1"/>
  <c r="BN6" i="1"/>
  <c r="BN8" i="1" s="1"/>
  <c r="BN7" i="1"/>
  <c r="BN9" i="1" s="1"/>
  <c r="BN12" i="1"/>
  <c r="BN14" i="1" s="1"/>
  <c r="BN11" i="1"/>
  <c r="BN13" i="1" s="1"/>
  <c r="Z70" i="1"/>
  <c r="AB70" i="1" s="1"/>
  <c r="AC70" i="1" s="1"/>
  <c r="BN22" i="1" l="1"/>
  <c r="BP3" i="1"/>
  <c r="BO17" i="1"/>
  <c r="BO19" i="1" s="1"/>
  <c r="BO6" i="1"/>
  <c r="BO8" i="1" s="1"/>
  <c r="BO7" i="1"/>
  <c r="BO9" i="1" s="1"/>
  <c r="BO12" i="1"/>
  <c r="BO14" i="1" s="1"/>
  <c r="BO16" i="1"/>
  <c r="BO18" i="1" s="1"/>
  <c r="BO11" i="1"/>
  <c r="BO13" i="1" s="1"/>
  <c r="AA70" i="1"/>
  <c r="BO22" i="1" l="1"/>
  <c r="BQ3" i="1"/>
  <c r="BP12" i="1"/>
  <c r="BP14" i="1" s="1"/>
  <c r="BP17" i="1"/>
  <c r="BP19" i="1" s="1"/>
  <c r="BP6" i="1"/>
  <c r="BP8" i="1" s="1"/>
  <c r="BP7" i="1"/>
  <c r="BP9" i="1" s="1"/>
  <c r="BP16" i="1"/>
  <c r="BP18" i="1" s="1"/>
  <c r="BP11" i="1"/>
  <c r="BP13" i="1" s="1"/>
  <c r="Z71" i="1"/>
  <c r="AB71" i="1" s="1"/>
  <c r="AC71" i="1" s="1"/>
  <c r="BP22" i="1" l="1"/>
  <c r="AA71" i="1"/>
  <c r="BR3" i="1"/>
  <c r="BQ7" i="1"/>
  <c r="BQ9" i="1" s="1"/>
  <c r="BQ6" i="1"/>
  <c r="BQ8" i="1" s="1"/>
  <c r="BQ11" i="1"/>
  <c r="BQ13" i="1" s="1"/>
  <c r="BQ17" i="1"/>
  <c r="BQ19" i="1" s="1"/>
  <c r="BQ12" i="1"/>
  <c r="BQ14" i="1" s="1"/>
  <c r="BQ16" i="1"/>
  <c r="BQ18" i="1" s="1"/>
  <c r="Z72" i="1"/>
  <c r="AB72" i="1" s="1"/>
  <c r="AC72" i="1" s="1"/>
  <c r="BQ22" i="1" l="1"/>
  <c r="BS3" i="1"/>
  <c r="BR6" i="1"/>
  <c r="BR8" i="1" s="1"/>
  <c r="BR17" i="1"/>
  <c r="BR19" i="1" s="1"/>
  <c r="BR16" i="1"/>
  <c r="BR18" i="1" s="1"/>
  <c r="BR12" i="1"/>
  <c r="BR14" i="1" s="1"/>
  <c r="BR7" i="1"/>
  <c r="BR9" i="1" s="1"/>
  <c r="BR11" i="1"/>
  <c r="BR13" i="1" s="1"/>
  <c r="AA72" i="1"/>
  <c r="BR22" i="1" l="1"/>
  <c r="BT3" i="1"/>
  <c r="BS16" i="1"/>
  <c r="BS18" i="1" s="1"/>
  <c r="BS7" i="1"/>
  <c r="BS9" i="1" s="1"/>
  <c r="BS17" i="1"/>
  <c r="BS19" i="1" s="1"/>
  <c r="BS11" i="1"/>
  <c r="BS13" i="1" s="1"/>
  <c r="BS6" i="1"/>
  <c r="BS8" i="1" s="1"/>
  <c r="BS12" i="1"/>
  <c r="BS14" i="1" s="1"/>
  <c r="Z73" i="1"/>
  <c r="AB73" i="1" s="1"/>
  <c r="AC73" i="1" s="1"/>
  <c r="BS22" i="1" l="1"/>
  <c r="BU3" i="1"/>
  <c r="BT12" i="1"/>
  <c r="BT14" i="1" s="1"/>
  <c r="BT7" i="1"/>
  <c r="BT9" i="1" s="1"/>
  <c r="BT17" i="1"/>
  <c r="BT19" i="1" s="1"/>
  <c r="BT16" i="1"/>
  <c r="BT18" i="1" s="1"/>
  <c r="BT6" i="1"/>
  <c r="BT8" i="1" s="1"/>
  <c r="BT11" i="1"/>
  <c r="BT13" i="1" s="1"/>
  <c r="AA73" i="1"/>
  <c r="BT22" i="1" l="1"/>
  <c r="BV3" i="1"/>
  <c r="BU7" i="1"/>
  <c r="BU9" i="1" s="1"/>
  <c r="BU17" i="1"/>
  <c r="BU19" i="1" s="1"/>
  <c r="BU11" i="1"/>
  <c r="BU13" i="1" s="1"/>
  <c r="BU6" i="1"/>
  <c r="BU8" i="1" s="1"/>
  <c r="BU12" i="1"/>
  <c r="BU14" i="1" s="1"/>
  <c r="BU16" i="1"/>
  <c r="BU18" i="1" s="1"/>
  <c r="Z74" i="1"/>
  <c r="AB74" i="1" s="1"/>
  <c r="AC74" i="1" s="1"/>
  <c r="BU22" i="1" l="1"/>
  <c r="BW3" i="1"/>
  <c r="BV7" i="1"/>
  <c r="BV9" i="1" s="1"/>
  <c r="BV12" i="1"/>
  <c r="BV14" i="1" s="1"/>
  <c r="BV6" i="1"/>
  <c r="BV8" i="1" s="1"/>
  <c r="BV16" i="1"/>
  <c r="BV18" i="1" s="1"/>
  <c r="BV17" i="1"/>
  <c r="BV19" i="1" s="1"/>
  <c r="BV11" i="1"/>
  <c r="BV13" i="1" s="1"/>
  <c r="AA74" i="1"/>
  <c r="BV22" i="1" l="1"/>
  <c r="BW7" i="1"/>
  <c r="BW9" i="1" s="1"/>
  <c r="BX3" i="1"/>
  <c r="BW16" i="1"/>
  <c r="BW18" i="1" s="1"/>
  <c r="BW12" i="1"/>
  <c r="BW14" i="1" s="1"/>
  <c r="BW6" i="1"/>
  <c r="BW8" i="1" s="1"/>
  <c r="BW17" i="1"/>
  <c r="BW19" i="1" s="1"/>
  <c r="BW11" i="1"/>
  <c r="BW13" i="1" s="1"/>
  <c r="Z75" i="1"/>
  <c r="AB75" i="1" s="1"/>
  <c r="AC75" i="1" s="1"/>
  <c r="BW22" i="1" l="1"/>
  <c r="BX12" i="1"/>
  <c r="BX14" i="1" s="1"/>
  <c r="BY3" i="1"/>
  <c r="BX16" i="1"/>
  <c r="BX18" i="1" s="1"/>
  <c r="BX17" i="1"/>
  <c r="BX19" i="1" s="1"/>
  <c r="BX7" i="1"/>
  <c r="BX9" i="1" s="1"/>
  <c r="BX6" i="1"/>
  <c r="BX8" i="1" s="1"/>
  <c r="BX11" i="1"/>
  <c r="BX13" i="1" s="1"/>
  <c r="AA75" i="1"/>
  <c r="BX22" i="1" l="1"/>
  <c r="BZ3" i="1"/>
  <c r="BY17" i="1"/>
  <c r="BY19" i="1" s="1"/>
  <c r="BY16" i="1"/>
  <c r="BY18" i="1" s="1"/>
  <c r="BY7" i="1"/>
  <c r="BY9" i="1" s="1"/>
  <c r="BY6" i="1"/>
  <c r="BY8" i="1" s="1"/>
  <c r="BY11" i="1"/>
  <c r="BY13" i="1" s="1"/>
  <c r="BY12" i="1"/>
  <c r="BY14" i="1" s="1"/>
  <c r="Z76" i="1"/>
  <c r="AB76" i="1" s="1"/>
  <c r="AC76" i="1" s="1"/>
  <c r="BY22" i="1" l="1"/>
  <c r="CA3" i="1"/>
  <c r="BZ7" i="1"/>
  <c r="BZ9" i="1" s="1"/>
  <c r="BZ11" i="1"/>
  <c r="BZ13" i="1" s="1"/>
  <c r="BZ17" i="1"/>
  <c r="BZ19" i="1" s="1"/>
  <c r="BZ12" i="1"/>
  <c r="BZ14" i="1" s="1"/>
  <c r="BZ16" i="1"/>
  <c r="BZ18" i="1" s="1"/>
  <c r="BZ6" i="1"/>
  <c r="BZ8" i="1" s="1"/>
  <c r="AA76" i="1"/>
  <c r="BZ22" i="1" l="1"/>
  <c r="CB3" i="1"/>
  <c r="CA11" i="1"/>
  <c r="CA13" i="1" s="1"/>
  <c r="CA7" i="1"/>
  <c r="CA9" i="1" s="1"/>
  <c r="CA17" i="1"/>
  <c r="CA19" i="1" s="1"/>
  <c r="CA16" i="1"/>
  <c r="CA18" i="1" s="1"/>
  <c r="CA6" i="1"/>
  <c r="CA8" i="1" s="1"/>
  <c r="CA22" i="1" s="1"/>
  <c r="CA12" i="1"/>
  <c r="CA14" i="1" s="1"/>
  <c r="Z77" i="1"/>
  <c r="AB77" i="1" s="1"/>
  <c r="AC77" i="1" s="1"/>
  <c r="CC3" i="1" l="1"/>
  <c r="CB11" i="1"/>
  <c r="CB13" i="1" s="1"/>
  <c r="CB6" i="1"/>
  <c r="CB8" i="1" s="1"/>
  <c r="CB16" i="1"/>
  <c r="CB18" i="1" s="1"/>
  <c r="CB7" i="1"/>
  <c r="CB9" i="1" s="1"/>
  <c r="CB12" i="1"/>
  <c r="CB14" i="1" s="1"/>
  <c r="CB17" i="1"/>
  <c r="CB19" i="1" s="1"/>
  <c r="AA77" i="1"/>
  <c r="CB22" i="1" l="1"/>
  <c r="CD3" i="1"/>
  <c r="CC7" i="1"/>
  <c r="CC9" i="1" s="1"/>
  <c r="CC11" i="1"/>
  <c r="CC13" i="1" s="1"/>
  <c r="CC16" i="1"/>
  <c r="CC18" i="1" s="1"/>
  <c r="CC6" i="1"/>
  <c r="CC8" i="1" s="1"/>
  <c r="CC17" i="1"/>
  <c r="CC19" i="1" s="1"/>
  <c r="CC12" i="1"/>
  <c r="CC14" i="1" s="1"/>
  <c r="Z78" i="1"/>
  <c r="AB78" i="1" s="1"/>
  <c r="AC78" i="1" s="1"/>
  <c r="CC22" i="1" l="1"/>
  <c r="CD11" i="1"/>
  <c r="CD13" i="1" s="1"/>
  <c r="CD16" i="1"/>
  <c r="CD18" i="1" s="1"/>
  <c r="CD17" i="1"/>
  <c r="CD19" i="1" s="1"/>
  <c r="U32" i="1" s="1" a="1"/>
  <c r="U32" i="1" s="1"/>
  <c r="CD12" i="1"/>
  <c r="CD14" i="1" s="1"/>
  <c r="U31" i="1" s="1" a="1"/>
  <c r="U31" i="1" s="1"/>
  <c r="CD6" i="1"/>
  <c r="CD8" i="1" s="1"/>
  <c r="CD7" i="1"/>
  <c r="CD9" i="1" s="1"/>
  <c r="AA78" i="1"/>
  <c r="CD22" i="1" l="1"/>
  <c r="U30" i="1" a="1"/>
  <c r="U30" i="1" s="1"/>
  <c r="Z79" i="1"/>
  <c r="AB79" i="1" s="1"/>
  <c r="AC79" i="1" s="1"/>
  <c r="U27" i="1" l="1" a="1"/>
  <c r="U27" i="1" s="1"/>
  <c r="U35" i="1" s="1" a="1"/>
  <c r="U35" i="1" s="1"/>
  <c r="AA79" i="1"/>
  <c r="Z80" i="1" l="1"/>
  <c r="AB80" i="1" s="1"/>
  <c r="AC80" i="1" s="1"/>
  <c r="AA80" i="1" l="1"/>
  <c r="Z81" i="1" l="1"/>
  <c r="AB81" i="1" s="1"/>
  <c r="AC81" i="1" s="1"/>
  <c r="AA81" i="1" l="1"/>
  <c r="Z82" i="1" l="1"/>
  <c r="AB82" i="1" s="1"/>
  <c r="AC82" i="1" s="1"/>
  <c r="AA82" i="1" l="1"/>
  <c r="Z83" i="1" l="1"/>
  <c r="AB83" i="1" s="1"/>
  <c r="AC83" i="1" s="1"/>
  <c r="AA83" i="1" l="1"/>
  <c r="Z84" i="1" l="1"/>
  <c r="AB84" i="1" s="1"/>
  <c r="AC84" i="1" s="1"/>
  <c r="AA84" i="1" l="1"/>
  <c r="Z85" i="1" l="1"/>
  <c r="AB85" i="1" s="1"/>
  <c r="AC85" i="1" s="1"/>
  <c r="AA85" i="1" l="1"/>
  <c r="Z86" i="1" l="1"/>
  <c r="AB86" i="1" s="1"/>
  <c r="AC86" i="1" s="1"/>
  <c r="AA86" i="1" l="1"/>
  <c r="Z87" i="1" l="1"/>
  <c r="AB87" i="1" s="1"/>
  <c r="AC87" i="1" s="1"/>
  <c r="AA87" i="1" l="1"/>
  <c r="Z88" i="1" l="1"/>
  <c r="AB88" i="1" s="1"/>
  <c r="AC88" i="1" s="1"/>
  <c r="AA88" i="1" l="1"/>
  <c r="Z89" i="1" l="1"/>
  <c r="AB89" i="1" s="1"/>
  <c r="AC89" i="1" s="1"/>
  <c r="AA89" i="1" l="1"/>
  <c r="Z90" i="1" l="1"/>
  <c r="AB90" i="1" s="1"/>
  <c r="AC90" i="1" s="1"/>
  <c r="AA90" i="1" l="1"/>
  <c r="Z91" i="1" l="1"/>
  <c r="AB91" i="1" s="1"/>
  <c r="AC91" i="1" s="1"/>
  <c r="AA91" i="1" l="1"/>
  <c r="Z92" i="1" l="1"/>
  <c r="AB92" i="1" s="1"/>
  <c r="AC92" i="1" s="1"/>
  <c r="AA92" i="1" l="1"/>
  <c r="Z93" i="1" l="1"/>
  <c r="AB93" i="1" s="1"/>
  <c r="AC93" i="1" s="1"/>
  <c r="AA93" i="1" l="1"/>
  <c r="Z94" i="1" l="1"/>
  <c r="AB94" i="1" s="1"/>
  <c r="AC94" i="1" s="1"/>
  <c r="AA94" i="1" l="1"/>
  <c r="Z95" i="1" l="1"/>
  <c r="AB95" i="1" s="1"/>
  <c r="AC95" i="1" s="1"/>
  <c r="AA95" i="1" l="1"/>
  <c r="Z96" i="1" l="1"/>
  <c r="AB96" i="1" s="1"/>
  <c r="AC96" i="1" s="1"/>
  <c r="AA96" i="1" l="1"/>
  <c r="Z97" i="1" l="1"/>
  <c r="AB97" i="1" s="1"/>
  <c r="AC97" i="1" s="1"/>
  <c r="AA97" i="1" l="1"/>
  <c r="Z98" i="1" l="1"/>
  <c r="AB98" i="1" s="1"/>
  <c r="AC98" i="1" s="1"/>
  <c r="AA98" i="1" l="1"/>
  <c r="Z99" i="1" l="1"/>
  <c r="AB99" i="1" s="1"/>
  <c r="AC99" i="1" s="1"/>
  <c r="AA99" i="1" l="1"/>
  <c r="Z100" i="1" l="1"/>
  <c r="AB100" i="1" s="1"/>
  <c r="AC100" i="1" s="1"/>
  <c r="AA100" i="1" l="1"/>
  <c r="Z101" i="1" l="1"/>
  <c r="AB101" i="1" s="1"/>
  <c r="AC101" i="1" s="1"/>
  <c r="AA101" i="1" l="1"/>
  <c r="Z102" i="1" l="1"/>
  <c r="AB102" i="1" s="1"/>
  <c r="AC102" i="1" s="1"/>
  <c r="AA102" i="1" l="1"/>
  <c r="Z103" i="1" l="1"/>
  <c r="AB103" i="1" s="1"/>
  <c r="AC103" i="1" s="1"/>
  <c r="AA103" i="1" l="1"/>
  <c r="Z104" i="1" l="1"/>
  <c r="AB104" i="1" s="1"/>
  <c r="AC104" i="1" s="1"/>
  <c r="AA104" i="1" l="1"/>
  <c r="Z105" i="1" l="1"/>
  <c r="AB105" i="1" s="1"/>
  <c r="AC105" i="1" s="1"/>
  <c r="AA105" i="1" l="1"/>
  <c r="Z106" i="1" l="1"/>
  <c r="AB106" i="1" s="1"/>
  <c r="AC106" i="1" s="1"/>
  <c r="F14" i="1" l="1"/>
  <c r="AA106" i="1"/>
  <c r="S35" i="1" l="1"/>
  <c r="L1" i="1"/>
  <c r="Y23" i="1"/>
  <c r="Z23" i="1"/>
  <c r="W23" i="1"/>
  <c r="AI23" i="1"/>
  <c r="AJ23" i="1"/>
  <c r="AM23" i="1"/>
  <c r="AP23" i="1"/>
  <c r="AQ23" i="1"/>
  <c r="AR23" i="1"/>
  <c r="AU23" i="1"/>
  <c r="AX23" i="1"/>
  <c r="AY23" i="1"/>
  <c r="AZ23" i="1"/>
  <c r="BC23" i="1"/>
  <c r="BF23" i="1"/>
  <c r="BG23" i="1"/>
  <c r="BH23" i="1"/>
  <c r="BK23" i="1"/>
  <c r="BX23" i="1"/>
  <c r="CA23" i="1"/>
  <c r="CD23" i="1"/>
  <c r="AH23" i="1" l="1"/>
  <c r="AE23" i="1"/>
  <c r="X23" i="1"/>
  <c r="BW23" i="1"/>
  <c r="BV23" i="1"/>
  <c r="BS23" i="1"/>
  <c r="BP23" i="1"/>
  <c r="BO23" i="1"/>
  <c r="BN23" i="1"/>
  <c r="U23" i="1"/>
  <c r="CC23" i="1"/>
  <c r="BU23" i="1"/>
  <c r="BM23" i="1"/>
  <c r="BE23" i="1"/>
  <c r="AW23" i="1"/>
  <c r="AO23" i="1"/>
  <c r="AG23" i="1"/>
  <c r="AA23" i="1"/>
  <c r="CB23" i="1"/>
  <c r="BT23" i="1"/>
  <c r="BL23" i="1"/>
  <c r="BD23" i="1"/>
  <c r="AV23" i="1"/>
  <c r="AN23" i="1"/>
  <c r="AF23" i="1"/>
  <c r="AB23" i="1"/>
  <c r="BZ23" i="1"/>
  <c r="BR23" i="1"/>
  <c r="BJ23" i="1"/>
  <c r="BB23" i="1"/>
  <c r="AT23" i="1"/>
  <c r="AL23" i="1"/>
  <c r="AD23" i="1"/>
  <c r="V23" i="1"/>
  <c r="V25" i="1" s="1"/>
  <c r="N6" i="1" s="1"/>
  <c r="O6" i="1" s="1"/>
  <c r="BY23" i="1"/>
  <c r="BQ23" i="1"/>
  <c r="BI23" i="1"/>
  <c r="BA23" i="1"/>
  <c r="AS23" i="1"/>
  <c r="AK23" i="1"/>
  <c r="AC23" i="1"/>
  <c r="U25" i="1"/>
  <c r="N5" i="1" s="1"/>
  <c r="O5" i="1" s="1"/>
  <c r="W24" i="1"/>
  <c r="X24" i="1" s="1"/>
  <c r="W25" i="1" l="1"/>
  <c r="N7" i="1" s="1"/>
  <c r="O7" i="1" s="1"/>
  <c r="C13" i="1" a="1"/>
  <c r="C13" i="1" s="1"/>
  <c r="B13" i="1" s="1"/>
  <c r="X25" i="1"/>
  <c r="N8" i="1" s="1"/>
  <c r="O8" i="1" s="1"/>
  <c r="Y24" i="1"/>
  <c r="B14" i="1" l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Z24" i="1"/>
  <c r="Y25" i="1"/>
  <c r="Z25" i="1" l="1"/>
  <c r="N9" i="1" s="1"/>
  <c r="O9" i="1" s="1"/>
  <c r="AA24" i="1"/>
  <c r="AA25" i="1" l="1"/>
  <c r="AB24" i="1"/>
  <c r="AB25" i="1" l="1"/>
  <c r="N10" i="1" s="1"/>
  <c r="O10" i="1" s="1"/>
  <c r="AC24" i="1"/>
  <c r="AC25" i="1" l="1"/>
  <c r="AD24" i="1"/>
  <c r="AE24" i="1" l="1"/>
  <c r="AD25" i="1"/>
  <c r="AF24" i="1" l="1"/>
  <c r="AE25" i="1"/>
  <c r="AF25" i="1" l="1"/>
  <c r="N11" i="1" s="1"/>
  <c r="O11" i="1" s="1"/>
  <c r="AG24" i="1"/>
  <c r="AH24" i="1" l="1"/>
  <c r="AG25" i="1"/>
  <c r="AI24" i="1" l="1"/>
  <c r="AH25" i="1"/>
  <c r="AI25" i="1" l="1"/>
  <c r="AJ24" i="1"/>
  <c r="AK24" i="1" l="1"/>
  <c r="AJ25" i="1"/>
  <c r="N12" i="1" s="1"/>
  <c r="O12" i="1" s="1"/>
  <c r="AL24" i="1" l="1"/>
  <c r="AK25" i="1"/>
  <c r="AM24" i="1" l="1"/>
  <c r="AL25" i="1"/>
  <c r="AM25" i="1" l="1"/>
  <c r="AN24" i="1"/>
  <c r="AO24" i="1" l="1"/>
  <c r="AN25" i="1"/>
  <c r="AP24" i="1" l="1"/>
  <c r="AO25" i="1"/>
  <c r="AQ24" i="1" l="1"/>
  <c r="AP25" i="1"/>
  <c r="N13" i="1" s="1"/>
  <c r="O13" i="1" s="1"/>
  <c r="AR24" i="1" l="1"/>
  <c r="AQ25" i="1"/>
  <c r="AS24" i="1" l="1"/>
  <c r="AR25" i="1"/>
  <c r="AT24" i="1" l="1"/>
  <c r="AS25" i="1"/>
  <c r="AT25" i="1" l="1"/>
  <c r="AU24" i="1"/>
  <c r="AV24" i="1" l="1"/>
  <c r="AU25" i="1"/>
  <c r="AW24" i="1" l="1"/>
  <c r="AV25" i="1"/>
  <c r="AX24" i="1" l="1"/>
  <c r="AW25" i="1"/>
  <c r="AY24" i="1" l="1"/>
  <c r="AX25" i="1"/>
  <c r="AY25" i="1" l="1"/>
  <c r="AZ24" i="1"/>
  <c r="BA24" i="1" l="1"/>
  <c r="AZ25" i="1"/>
  <c r="BB24" i="1" l="1"/>
  <c r="BA25" i="1"/>
  <c r="BB25" i="1" l="1"/>
  <c r="BC24" i="1"/>
  <c r="BD24" i="1" l="1"/>
  <c r="BC25" i="1"/>
  <c r="BE24" i="1" l="1"/>
  <c r="BD25" i="1"/>
  <c r="BE25" i="1" l="1"/>
  <c r="BF24" i="1"/>
  <c r="BF25" i="1" l="1"/>
  <c r="BG24" i="1"/>
  <c r="BH24" i="1" l="1"/>
  <c r="BG25" i="1"/>
  <c r="BH25" i="1" l="1"/>
  <c r="BI24" i="1"/>
  <c r="BI25" i="1" l="1"/>
  <c r="BJ24" i="1"/>
  <c r="BK24" i="1" l="1"/>
  <c r="BJ25" i="1"/>
  <c r="N14" i="1" s="1"/>
  <c r="O14" i="1" s="1"/>
  <c r="BL24" i="1" l="1"/>
  <c r="BK25" i="1"/>
  <c r="BL25" i="1" l="1"/>
  <c r="BM24" i="1"/>
  <c r="BM25" i="1" l="1"/>
  <c r="BN24" i="1"/>
  <c r="BO24" i="1" l="1"/>
  <c r="BN25" i="1"/>
  <c r="BP24" i="1" l="1"/>
  <c r="BO25" i="1"/>
  <c r="BP25" i="1" l="1"/>
  <c r="BQ24" i="1"/>
  <c r="BR24" i="1" l="1"/>
  <c r="BQ25" i="1"/>
  <c r="BS24" i="1" l="1"/>
  <c r="BR25" i="1"/>
  <c r="BS25" i="1" l="1"/>
  <c r="BT24" i="1"/>
  <c r="BU24" i="1" l="1"/>
  <c r="BT25" i="1"/>
  <c r="BV24" i="1" l="1"/>
  <c r="BU25" i="1"/>
  <c r="BW24" i="1" l="1"/>
  <c r="BV25" i="1"/>
  <c r="BX24" i="1" l="1"/>
  <c r="BW25" i="1"/>
  <c r="BX25" i="1" l="1"/>
  <c r="BY24" i="1"/>
  <c r="BZ24" i="1" l="1"/>
  <c r="BY25" i="1"/>
  <c r="BZ25" i="1" l="1"/>
  <c r="CA24" i="1"/>
  <c r="CA25" i="1" l="1"/>
  <c r="CB24" i="1"/>
  <c r="CC24" i="1" l="1"/>
  <c r="CB25" i="1"/>
  <c r="CC25" i="1" l="1"/>
  <c r="CD24" i="1"/>
  <c r="CD25" i="1" s="1"/>
  <c r="N15" i="1" s="1"/>
  <c r="O1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<sst xmlns="http://schemas.openxmlformats.org/spreadsheetml/2006/main" count="82" uniqueCount="65">
  <si>
    <t>Chart Title</t>
  </si>
  <si>
    <t>Chart Text Box - State Variables</t>
  </si>
  <si>
    <t>Model Parameters</t>
  </si>
  <si>
    <t>These will not change from month to month for NAIC</t>
  </si>
  <si>
    <t>Treasury Model Calibration Results</t>
  </si>
  <si>
    <t>Auxiliary Functions</t>
  </si>
  <si>
    <t>CIR Process</t>
  </si>
  <si>
    <t>Theta</t>
  </si>
  <si>
    <t>Kappa</t>
  </si>
  <si>
    <t>Sigma</t>
  </si>
  <si>
    <t>Gamma</t>
  </si>
  <si>
    <t>Gamma + Kappa</t>
  </si>
  <si>
    <t>Coupon Curve</t>
  </si>
  <si>
    <t>Maturity (Years)</t>
  </si>
  <si>
    <t>CIR 1</t>
  </si>
  <si>
    <t>Actual</t>
  </si>
  <si>
    <t>Fitted</t>
  </si>
  <si>
    <t>Difference</t>
  </si>
  <si>
    <t>CIR 2</t>
  </si>
  <si>
    <t>CIR 3</t>
  </si>
  <si>
    <t>A(T)</t>
  </si>
  <si>
    <t>B(T)</t>
  </si>
  <si>
    <t>Time</t>
  </si>
  <si>
    <t>Shift Function</t>
  </si>
  <si>
    <t>A(T) * -1/t</t>
  </si>
  <si>
    <t>B(T) * -1/t</t>
  </si>
  <si>
    <t>Only these results will be batch import to the new month dfa</t>
  </si>
  <si>
    <t>Impact</t>
  </si>
  <si>
    <t>Tenor</t>
  </si>
  <si>
    <t>Yield</t>
  </si>
  <si>
    <t>Long Term Yield</t>
  </si>
  <si>
    <t>Fixed</t>
  </si>
  <si>
    <t>Spot</t>
  </si>
  <si>
    <t>Sum of Discount</t>
  </si>
  <si>
    <t>Par Yield</t>
  </si>
  <si>
    <t>Targets</t>
  </si>
  <si>
    <t>X's</t>
  </si>
  <si>
    <t>State 1</t>
  </si>
  <si>
    <t>State 2</t>
  </si>
  <si>
    <t>State 3</t>
  </si>
  <si>
    <t>Initial</t>
  </si>
  <si>
    <t>Bootstrap</t>
  </si>
  <si>
    <t xml:space="preserve"> </t>
  </si>
  <si>
    <t>Zero Conversion</t>
  </si>
  <si>
    <t>mat</t>
  </si>
  <si>
    <t>yield</t>
  </si>
  <si>
    <t>Maturity in Year</t>
  </si>
  <si>
    <t>Linear Interpolation</t>
  </si>
  <si>
    <t>Discount Factor</t>
  </si>
  <si>
    <t>Cumulative Sum of DF</t>
  </si>
  <si>
    <t>Discrete zero</t>
  </si>
  <si>
    <t>Continuous Compound Zero</t>
  </si>
  <si>
    <t>1m</t>
  </si>
  <si>
    <t>3m</t>
  </si>
  <si>
    <t>6m</t>
  </si>
  <si>
    <t>1y</t>
  </si>
  <si>
    <t>2y</t>
  </si>
  <si>
    <t>3y</t>
  </si>
  <si>
    <t>5y</t>
  </si>
  <si>
    <t>7y</t>
  </si>
  <si>
    <t>10y</t>
  </si>
  <si>
    <t>20y</t>
  </si>
  <si>
    <t>30y</t>
  </si>
  <si>
    <t>Treasury Fitting Results for GEMS-NAIC Calibration at 02/28/2025</t>
  </si>
  <si>
    <t>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</si>
</sst>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00"/>
    <numFmt numFmtId="165" formatCode="0.0%"/>
    <numFmt numFmtId="166" formatCode="0.00000"/>
    <numFmt numFmtId="167" formatCode="0.0000"/>
    <numFmt numFmtId="168" formatCode="0.0000000"/>
    <numFmt numFmtId="169" formatCode="0.000000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0"/>
      <color theme="0" tint="-0.499984740745262"/>
      <name val="Arial"/>
      <family val="2"/>
    </font>
    <font>
      <sz val="6"/>
      <color rgb="FF2A2A2A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52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3" borderId="0" xfId="0" applyFill="1"/>
    <xf numFmtId="0" fontId="2" fillId="0" borderId="0" xfId="0" applyFont="1"/>
    <xf numFmtId="164" fontId="3" fillId="2" borderId="0" xfId="0" applyNumberFormat="1" applyFont="1" applyFill="1"/>
    <xf numFmtId="0" fontId="0" fillId="4" borderId="0" xfId="0" applyFill="1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2" fillId="0" borderId="1" xfId="0" applyFont="1" applyBorder="1"/>
    <xf numFmtId="0" fontId="0" fillId="0" borderId="2" xfId="0" applyBorder="1"/>
    <xf numFmtId="165" fontId="0" fillId="2" borderId="0" xfId="0" applyNumberFormat="1" applyFill="1"/>
    <xf numFmtId="0" fontId="0" fillId="0" borderId="3" xfId="0" applyBorder="1"/>
    <xf numFmtId="165" fontId="0" fillId="2" borderId="0" xfId="1" applyNumberFormat="1" applyFont="1" applyFill="1"/>
    <xf numFmtId="166" fontId="3" fillId="2" borderId="0" xfId="0" applyNumberFormat="1" applyFont="1" applyFill="1"/>
    <xf numFmtId="0" fontId="0" fillId="0" borderId="4" xfId="0" applyBorder="1"/>
    <xf numFmtId="0" fontId="0" fillId="0" borderId="5" xfId="0" applyBorder="1"/>
    <xf numFmtId="166" fontId="0" fillId="3" borderId="0" xfId="0" applyNumberFormat="1" applyFill="1"/>
    <xf numFmtId="165" fontId="0" fillId="3" borderId="0" xfId="1" applyNumberFormat="1" applyFont="1" applyFill="1"/>
    <xf numFmtId="0" fontId="0" fillId="5" borderId="0" xfId="0" applyFill="1"/>
    <xf numFmtId="165" fontId="0" fillId="5" borderId="0" xfId="1" applyNumberFormat="1" applyFont="1" applyFill="1"/>
    <xf numFmtId="164" fontId="4" fillId="5" borderId="0" xfId="0" applyNumberFormat="1" applyFont="1" applyFill="1"/>
    <xf numFmtId="10" fontId="0" fillId="0" borderId="0" xfId="0" applyNumberFormat="1"/>
    <xf numFmtId="0" fontId="0" fillId="6" borderId="0" xfId="0" applyFill="1"/>
    <xf numFmtId="0" fontId="5" fillId="7" borderId="0" xfId="2" applyFill="1"/>
    <xf numFmtId="167" fontId="5" fillId="7" borderId="0" xfId="2" applyNumberFormat="1" applyFill="1"/>
    <xf numFmtId="168" fontId="5" fillId="7" borderId="0" xfId="2" applyNumberFormat="1" applyFill="1"/>
    <xf numFmtId="169" fontId="5" fillId="7" borderId="0" xfId="2" applyNumberFormat="1" applyFill="1"/>
    <xf numFmtId="0" fontId="6" fillId="8" borderId="0" xfId="2" applyFont="1" applyFill="1"/>
    <xf numFmtId="14" fontId="5" fillId="7" borderId="0" xfId="2" applyNumberFormat="1" applyFill="1"/>
    <xf numFmtId="167" fontId="6" fillId="8" borderId="0" xfId="2" applyNumberFormat="1" applyFont="1" applyFill="1"/>
    <xf numFmtId="0" fontId="5" fillId="7" borderId="0" xfId="2" applyFill="1" applyAlignment="1">
      <alignment horizontal="center" vertical="center" wrapText="1"/>
    </xf>
    <xf numFmtId="0" fontId="5" fillId="9" borderId="6" xfId="2" applyFill="1" applyBorder="1" applyAlignment="1">
      <alignment horizontal="center" vertical="center"/>
    </xf>
    <xf numFmtId="0" fontId="5" fillId="9" borderId="7" xfId="2" applyFill="1" applyBorder="1" applyAlignment="1">
      <alignment horizontal="center" vertical="center"/>
    </xf>
    <xf numFmtId="0" fontId="7" fillId="9" borderId="6" xfId="2" applyFont="1" applyFill="1" applyBorder="1" applyAlignment="1">
      <alignment horizontal="center" vertical="center" wrapText="1"/>
    </xf>
    <xf numFmtId="167" fontId="7" fillId="9" borderId="6" xfId="2" applyNumberFormat="1" applyFont="1" applyFill="1" applyBorder="1" applyAlignment="1">
      <alignment horizontal="center" vertical="center" wrapText="1"/>
    </xf>
    <xf numFmtId="168" fontId="7" fillId="9" borderId="6" xfId="2" applyNumberFormat="1" applyFont="1" applyFill="1" applyBorder="1" applyAlignment="1">
      <alignment horizontal="center" vertical="center" wrapText="1"/>
    </xf>
    <xf numFmtId="169" fontId="7" fillId="9" borderId="6" xfId="2" applyNumberFormat="1" applyFont="1" applyFill="1" applyBorder="1" applyAlignment="1">
      <alignment horizontal="center" vertical="center" wrapText="1"/>
    </xf>
    <xf numFmtId="0" fontId="5" fillId="9" borderId="8" xfId="2" applyFill="1" applyBorder="1"/>
    <xf numFmtId="0" fontId="5" fillId="9" borderId="8" xfId="2" applyFill="1" applyBorder="1" applyAlignment="1">
      <alignment horizontal="center" wrapText="1"/>
    </xf>
    <xf numFmtId="167" fontId="5" fillId="9" borderId="8" xfId="2" applyNumberFormat="1" applyFill="1" applyBorder="1"/>
    <xf numFmtId="168" fontId="5" fillId="9" borderId="8" xfId="2" applyNumberFormat="1" applyFill="1" applyBorder="1"/>
    <xf numFmtId="169" fontId="7" fillId="9" borderId="9" xfId="2" applyNumberFormat="1" applyFont="1" applyFill="1" applyBorder="1"/>
    <xf numFmtId="0" fontId="5" fillId="9" borderId="9" xfId="2" applyFill="1" applyBorder="1"/>
    <xf numFmtId="0" fontId="5" fillId="9" borderId="9" xfId="2" applyFill="1" applyBorder="1" applyAlignment="1">
      <alignment horizontal="center" wrapText="1"/>
    </xf>
    <xf numFmtId="167" fontId="5" fillId="9" borderId="9" xfId="2" applyNumberFormat="1" applyFill="1" applyBorder="1"/>
    <xf numFmtId="168" fontId="5" fillId="9" borderId="9" xfId="2" applyNumberFormat="1" applyFill="1" applyBorder="1"/>
    <xf numFmtId="0" fontId="8" fillId="7" borderId="0" xfId="2" applyFont="1" applyFill="1"/>
    <xf numFmtId="0" fontId="9" fillId="10" borderId="0" xfId="2" applyFont="1" applyFill="1" applyAlignment="1">
      <alignment vertical="top" wrapText="1"/>
    </xf>
    <xf numFmtId="10" fontId="0" fillId="11" borderId="0" xfId="1" applyNumberFormat="1" applyFont="1" applyFill="1"/>
    <xf numFmtId="0" fontId="2" fillId="11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Normal" xfId="0" builtinId="0"/>
    <cellStyle name="Normal 2 2" xfId="2" xr:uid="{07A971ED-4DE2-4F40-9442-D39D5451CC94}"/>
    <cellStyle name="Percent" xfId="1" builtinId="5"/>
  </cellStyles>
  <dxfs count="1"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Coupon and Zero Yield</a:t>
            </a:r>
            <a:r>
              <a:rPr lang="en-US" baseline="0"/>
              <a:t> Curves from Custom Calibration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Coupon Yield</c:v>
          </c:tx>
          <c:marker>
            <c:symbol val="none"/>
          </c:marker>
          <c:cat>
            <c:numRef>
              <c:f>'Tsy Recalibration'!$X$46:$X$106</c:f>
              <c:numCache>
                <c:formatCode>General</c:formatCode>
                <c:ptCount val="61"/>
                <c:pt idx="0">
                  <c:v>0.25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9.5</c:v>
                </c:pt>
                <c:pt idx="20">
                  <c:v>10</c:v>
                </c:pt>
                <c:pt idx="21">
                  <c:v>10.5</c:v>
                </c:pt>
                <c:pt idx="22">
                  <c:v>11</c:v>
                </c:pt>
                <c:pt idx="23">
                  <c:v>11.5</c:v>
                </c:pt>
                <c:pt idx="24">
                  <c:v>12</c:v>
                </c:pt>
                <c:pt idx="25">
                  <c:v>12.5</c:v>
                </c:pt>
                <c:pt idx="26">
                  <c:v>13</c:v>
                </c:pt>
                <c:pt idx="27">
                  <c:v>13.5</c:v>
                </c:pt>
                <c:pt idx="28">
                  <c:v>14</c:v>
                </c:pt>
                <c:pt idx="29">
                  <c:v>14.5</c:v>
                </c:pt>
                <c:pt idx="30">
                  <c:v>15</c:v>
                </c:pt>
                <c:pt idx="31">
                  <c:v>15.5</c:v>
                </c:pt>
                <c:pt idx="32">
                  <c:v>16</c:v>
                </c:pt>
                <c:pt idx="33">
                  <c:v>16.5</c:v>
                </c:pt>
                <c:pt idx="34">
                  <c:v>17</c:v>
                </c:pt>
                <c:pt idx="35">
                  <c:v>17.5</c:v>
                </c:pt>
                <c:pt idx="36">
                  <c:v>18</c:v>
                </c:pt>
                <c:pt idx="37">
                  <c:v>18.5</c:v>
                </c:pt>
                <c:pt idx="38">
                  <c:v>19</c:v>
                </c:pt>
                <c:pt idx="39">
                  <c:v>19.5</c:v>
                </c:pt>
                <c:pt idx="40">
                  <c:v>20</c:v>
                </c:pt>
                <c:pt idx="41">
                  <c:v>20.5</c:v>
                </c:pt>
                <c:pt idx="42">
                  <c:v>21</c:v>
                </c:pt>
                <c:pt idx="43">
                  <c:v>21.5</c:v>
                </c:pt>
                <c:pt idx="44">
                  <c:v>22</c:v>
                </c:pt>
                <c:pt idx="45">
                  <c:v>22.5</c:v>
                </c:pt>
                <c:pt idx="46">
                  <c:v>23</c:v>
                </c:pt>
                <c:pt idx="47">
                  <c:v>23.5</c:v>
                </c:pt>
                <c:pt idx="48">
                  <c:v>24</c:v>
                </c:pt>
                <c:pt idx="49">
                  <c:v>24.5</c:v>
                </c:pt>
                <c:pt idx="50">
                  <c:v>25</c:v>
                </c:pt>
                <c:pt idx="51">
                  <c:v>25.5</c:v>
                </c:pt>
                <c:pt idx="52">
                  <c:v>26</c:v>
                </c:pt>
                <c:pt idx="53">
                  <c:v>26.5</c:v>
                </c:pt>
                <c:pt idx="54">
                  <c:v>27</c:v>
                </c:pt>
                <c:pt idx="55">
                  <c:v>27.5</c:v>
                </c:pt>
                <c:pt idx="56">
                  <c:v>28</c:v>
                </c:pt>
                <c:pt idx="57">
                  <c:v>28.5</c:v>
                </c:pt>
                <c:pt idx="58">
                  <c:v>29</c:v>
                </c:pt>
                <c:pt idx="59">
                  <c:v>29.5</c:v>
                </c:pt>
                <c:pt idx="60">
                  <c:v>30</c:v>
                </c:pt>
              </c:numCache>
            </c:numRef>
          </c:cat>
          <c:val>
            <c:numRef>
              <c:f>'Tsy Recalibration'!$Y$46:$Y$106</c:f>
              <c:numCache>
                <c:formatCode>0.0000</c:formatCode>
                <c:ptCount val="61"/>
                <c:pt idx="0">
                  <c:v>4.3200000000000002E-2</c:v>
                </c:pt>
                <c:pt idx="1">
                  <c:v>4.2500000000000003E-2</c:v>
                </c:pt>
                <c:pt idx="2">
                  <c:v>4.0800000000000003E-2</c:v>
                </c:pt>
                <c:pt idx="3">
                  <c:v>4.0350000000000004E-2</c:v>
                </c:pt>
                <c:pt idx="4">
                  <c:v>3.9900000000000005E-2</c:v>
                </c:pt>
                <c:pt idx="5">
                  <c:v>3.9900000000000005E-2</c:v>
                </c:pt>
                <c:pt idx="6">
                  <c:v>3.9900000000000005E-2</c:v>
                </c:pt>
                <c:pt idx="7">
                  <c:v>4.0000000000000008E-2</c:v>
                </c:pt>
                <c:pt idx="8">
                  <c:v>4.0100000000000004E-2</c:v>
                </c:pt>
                <c:pt idx="9">
                  <c:v>4.02E-2</c:v>
                </c:pt>
                <c:pt idx="10">
                  <c:v>4.0300000000000002E-2</c:v>
                </c:pt>
                <c:pt idx="11">
                  <c:v>4.0575E-2</c:v>
                </c:pt>
                <c:pt idx="12">
                  <c:v>4.0849999999999997E-2</c:v>
                </c:pt>
                <c:pt idx="13">
                  <c:v>4.1124999999999995E-2</c:v>
                </c:pt>
                <c:pt idx="14">
                  <c:v>4.1399999999999999E-2</c:v>
                </c:pt>
                <c:pt idx="15">
                  <c:v>4.1566666666666668E-2</c:v>
                </c:pt>
                <c:pt idx="16">
                  <c:v>4.1733333333333331E-2</c:v>
                </c:pt>
                <c:pt idx="17">
                  <c:v>4.19E-2</c:v>
                </c:pt>
                <c:pt idx="18">
                  <c:v>4.2066666666666669E-2</c:v>
                </c:pt>
                <c:pt idx="19">
                  <c:v>4.2233333333333331E-2</c:v>
                </c:pt>
                <c:pt idx="20">
                  <c:v>4.24E-2</c:v>
                </c:pt>
                <c:pt idx="21">
                  <c:v>4.2555000000000003E-2</c:v>
                </c:pt>
                <c:pt idx="22">
                  <c:v>4.2709999999999998E-2</c:v>
                </c:pt>
                <c:pt idx="23">
                  <c:v>4.2865E-2</c:v>
                </c:pt>
                <c:pt idx="24">
                  <c:v>4.3020000000000003E-2</c:v>
                </c:pt>
                <c:pt idx="25">
                  <c:v>4.3175000000000005E-2</c:v>
                </c:pt>
                <c:pt idx="26">
                  <c:v>4.333E-2</c:v>
                </c:pt>
                <c:pt idx="27">
                  <c:v>4.3485000000000003E-2</c:v>
                </c:pt>
                <c:pt idx="28">
                  <c:v>4.3640000000000005E-2</c:v>
                </c:pt>
                <c:pt idx="29">
                  <c:v>4.3795000000000001E-2</c:v>
                </c:pt>
                <c:pt idx="30">
                  <c:v>4.3950000000000003E-2</c:v>
                </c:pt>
                <c:pt idx="31">
                  <c:v>4.4105000000000005E-2</c:v>
                </c:pt>
                <c:pt idx="32">
                  <c:v>4.4260000000000001E-2</c:v>
                </c:pt>
                <c:pt idx="33">
                  <c:v>4.4415000000000003E-2</c:v>
                </c:pt>
                <c:pt idx="34">
                  <c:v>4.4569999999999999E-2</c:v>
                </c:pt>
                <c:pt idx="35">
                  <c:v>4.4725000000000001E-2</c:v>
                </c:pt>
                <c:pt idx="36">
                  <c:v>4.4880000000000003E-2</c:v>
                </c:pt>
                <c:pt idx="37">
                  <c:v>4.5034999999999999E-2</c:v>
                </c:pt>
                <c:pt idx="38">
                  <c:v>4.5190000000000001E-2</c:v>
                </c:pt>
                <c:pt idx="39">
                  <c:v>4.5344999999999996E-2</c:v>
                </c:pt>
                <c:pt idx="40">
                  <c:v>4.5499999999999999E-2</c:v>
                </c:pt>
                <c:pt idx="41">
                  <c:v>4.548E-2</c:v>
                </c:pt>
                <c:pt idx="42">
                  <c:v>4.546E-2</c:v>
                </c:pt>
                <c:pt idx="43">
                  <c:v>4.5440000000000001E-2</c:v>
                </c:pt>
                <c:pt idx="44">
                  <c:v>4.5420000000000002E-2</c:v>
                </c:pt>
                <c:pt idx="45">
                  <c:v>4.5399999999999996E-2</c:v>
                </c:pt>
                <c:pt idx="46">
                  <c:v>4.5379999999999997E-2</c:v>
                </c:pt>
                <c:pt idx="47">
                  <c:v>4.5359999999999998E-2</c:v>
                </c:pt>
                <c:pt idx="48">
                  <c:v>4.5339999999999998E-2</c:v>
                </c:pt>
                <c:pt idx="49">
                  <c:v>4.5319999999999999E-2</c:v>
                </c:pt>
                <c:pt idx="50">
                  <c:v>4.53E-2</c:v>
                </c:pt>
                <c:pt idx="51">
                  <c:v>4.5280000000000001E-2</c:v>
                </c:pt>
                <c:pt idx="52">
                  <c:v>4.5260000000000002E-2</c:v>
                </c:pt>
                <c:pt idx="53">
                  <c:v>4.5240000000000002E-2</c:v>
                </c:pt>
                <c:pt idx="54">
                  <c:v>4.5220000000000003E-2</c:v>
                </c:pt>
                <c:pt idx="55">
                  <c:v>4.5200000000000004E-2</c:v>
                </c:pt>
                <c:pt idx="56">
                  <c:v>4.5179999999999998E-2</c:v>
                </c:pt>
                <c:pt idx="57">
                  <c:v>4.5159999999999999E-2</c:v>
                </c:pt>
                <c:pt idx="58">
                  <c:v>4.514E-2</c:v>
                </c:pt>
                <c:pt idx="59">
                  <c:v>4.512E-2</c:v>
                </c:pt>
                <c:pt idx="60">
                  <c:v>4.5100000000000001E-2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2E-4A63-8CEF-9C44BCA1973E}"/>
            </c:ext>
          </c:extLst>
        </c:ser>
        <c:ser>
          <c:idx val="1"/>
          <c:order val="1"/>
          <c:tx>
            <c:v>zero yld</c:v>
          </c:tx>
          <c:marker>
            <c:symbol val="none"/>
          </c:marker>
          <c:cat>
            <c:numRef>
              <c:f>'Tsy Recalibration'!$X$46:$X$106</c:f>
              <c:numCache>
                <c:formatCode>General</c:formatCode>
                <c:ptCount val="61"/>
                <c:pt idx="0">
                  <c:v>0.25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9.5</c:v>
                </c:pt>
                <c:pt idx="20">
                  <c:v>10</c:v>
                </c:pt>
                <c:pt idx="21">
                  <c:v>10.5</c:v>
                </c:pt>
                <c:pt idx="22">
                  <c:v>11</c:v>
                </c:pt>
                <c:pt idx="23">
                  <c:v>11.5</c:v>
                </c:pt>
                <c:pt idx="24">
                  <c:v>12</c:v>
                </c:pt>
                <c:pt idx="25">
                  <c:v>12.5</c:v>
                </c:pt>
                <c:pt idx="26">
                  <c:v>13</c:v>
                </c:pt>
                <c:pt idx="27">
                  <c:v>13.5</c:v>
                </c:pt>
                <c:pt idx="28">
                  <c:v>14</c:v>
                </c:pt>
                <c:pt idx="29">
                  <c:v>14.5</c:v>
                </c:pt>
                <c:pt idx="30">
                  <c:v>15</c:v>
                </c:pt>
                <c:pt idx="31">
                  <c:v>15.5</c:v>
                </c:pt>
                <c:pt idx="32">
                  <c:v>16</c:v>
                </c:pt>
                <c:pt idx="33">
                  <c:v>16.5</c:v>
                </c:pt>
                <c:pt idx="34">
                  <c:v>17</c:v>
                </c:pt>
                <c:pt idx="35">
                  <c:v>17.5</c:v>
                </c:pt>
                <c:pt idx="36">
                  <c:v>18</c:v>
                </c:pt>
                <c:pt idx="37">
                  <c:v>18.5</c:v>
                </c:pt>
                <c:pt idx="38">
                  <c:v>19</c:v>
                </c:pt>
                <c:pt idx="39">
                  <c:v>19.5</c:v>
                </c:pt>
                <c:pt idx="40">
                  <c:v>20</c:v>
                </c:pt>
                <c:pt idx="41">
                  <c:v>20.5</c:v>
                </c:pt>
                <c:pt idx="42">
                  <c:v>21</c:v>
                </c:pt>
                <c:pt idx="43">
                  <c:v>21.5</c:v>
                </c:pt>
                <c:pt idx="44">
                  <c:v>22</c:v>
                </c:pt>
                <c:pt idx="45">
                  <c:v>22.5</c:v>
                </c:pt>
                <c:pt idx="46">
                  <c:v>23</c:v>
                </c:pt>
                <c:pt idx="47">
                  <c:v>23.5</c:v>
                </c:pt>
                <c:pt idx="48">
                  <c:v>24</c:v>
                </c:pt>
                <c:pt idx="49">
                  <c:v>24.5</c:v>
                </c:pt>
                <c:pt idx="50">
                  <c:v>25</c:v>
                </c:pt>
                <c:pt idx="51">
                  <c:v>25.5</c:v>
                </c:pt>
                <c:pt idx="52">
                  <c:v>26</c:v>
                </c:pt>
                <c:pt idx="53">
                  <c:v>26.5</c:v>
                </c:pt>
                <c:pt idx="54">
                  <c:v>27</c:v>
                </c:pt>
                <c:pt idx="55">
                  <c:v>27.5</c:v>
                </c:pt>
                <c:pt idx="56">
                  <c:v>28</c:v>
                </c:pt>
                <c:pt idx="57">
                  <c:v>28.5</c:v>
                </c:pt>
                <c:pt idx="58">
                  <c:v>29</c:v>
                </c:pt>
                <c:pt idx="59">
                  <c:v>29.5</c:v>
                </c:pt>
                <c:pt idx="60">
                  <c:v>30</c:v>
                </c:pt>
              </c:numCache>
            </c:numRef>
          </c:cat>
          <c:val>
            <c:numRef>
              <c:f>'Tsy Recalibration'!$AC$46:$AC$106</c:f>
              <c:numCache>
                <c:formatCode>0.00000000</c:formatCode>
                <c:ptCount val="61"/>
                <c:pt idx="0">
                  <c:v>4.2511716817162225E-2</c:v>
                </c:pt>
                <c:pt idx="1">
                  <c:v>4.2054734384151159E-2</c:v>
                </c:pt>
                <c:pt idx="2">
                  <c:v>4.0372435523016968E-2</c:v>
                </c:pt>
                <c:pt idx="3">
                  <c:v>3.9928216614898357E-2</c:v>
                </c:pt>
                <c:pt idx="4">
                  <c:v>3.9478908162909616E-2</c:v>
                </c:pt>
                <c:pt idx="5">
                  <c:v>3.948456912506218E-2</c:v>
                </c:pt>
                <c:pt idx="6">
                  <c:v>3.948834309983066E-2</c:v>
                </c:pt>
                <c:pt idx="7">
                  <c:v>3.9595118017729553E-2</c:v>
                </c:pt>
                <c:pt idx="8">
                  <c:v>3.9701560029458745E-2</c:v>
                </c:pt>
                <c:pt idx="9">
                  <c:v>3.980804399779217E-2</c:v>
                </c:pt>
                <c:pt idx="10">
                  <c:v>3.9914802289955489E-2</c:v>
                </c:pt>
                <c:pt idx="11">
                  <c:v>4.0212156727687985E-2</c:v>
                </c:pt>
                <c:pt idx="12">
                  <c:v>4.0510856872071767E-2</c:v>
                </c:pt>
                <c:pt idx="13">
                  <c:v>4.0811247859654447E-2</c:v>
                </c:pt>
                <c:pt idx="14">
                  <c:v>4.1113606583184421E-2</c:v>
                </c:pt>
                <c:pt idx="15">
                  <c:v>4.129453115200394E-2</c:v>
                </c:pt>
                <c:pt idx="16">
                  <c:v>4.1477198853027968E-2</c:v>
                </c:pt>
                <c:pt idx="17">
                  <c:v>4.1661632172531986E-2</c:v>
                </c:pt>
                <c:pt idx="18">
                  <c:v>4.1847861248261134E-2</c:v>
                </c:pt>
                <c:pt idx="19">
                  <c:v>4.2035922441026947E-2</c:v>
                </c:pt>
                <c:pt idx="20">
                  <c:v>4.2225857369197553E-2</c:v>
                </c:pt>
                <c:pt idx="21">
                  <c:v>4.2403372359896663E-2</c:v>
                </c:pt>
                <c:pt idx="22">
                  <c:v>4.2582773933221511E-2</c:v>
                </c:pt>
                <c:pt idx="23">
                  <c:v>4.2764100335360704E-2</c:v>
                </c:pt>
                <c:pt idx="24">
                  <c:v>4.2947394720612868E-2</c:v>
                </c:pt>
                <c:pt idx="25">
                  <c:v>4.3132704723739659E-2</c:v>
                </c:pt>
                <c:pt idx="26">
                  <c:v>4.3320082165356488E-2</c:v>
                </c:pt>
                <c:pt idx="27">
                  <c:v>4.3509582858449435E-2</c:v>
                </c:pt>
                <c:pt idx="28">
                  <c:v>4.3701266493454564E-2</c:v>
                </c:pt>
                <c:pt idx="29">
                  <c:v>4.3895196585803375E-2</c:v>
                </c:pt>
                <c:pt idx="30">
                  <c:v>4.4091440474399612E-2</c:v>
                </c:pt>
                <c:pt idx="31">
                  <c:v>4.4290069362741928E-2</c:v>
                </c:pt>
                <c:pt idx="32">
                  <c:v>4.4491158396792574E-2</c:v>
                </c:pt>
                <c:pt idx="33">
                  <c:v>4.4694786775441794E-2</c:v>
                </c:pt>
                <c:pt idx="34">
                  <c:v>4.490103789075519E-2</c:v>
                </c:pt>
                <c:pt idx="35">
                  <c:v>4.5109999496214366E-2</c:v>
                </c:pt>
                <c:pt idx="36">
                  <c:v>4.5321763901982039E-2</c:v>
                </c:pt>
                <c:pt idx="37">
                  <c:v>4.5536428196879523E-2</c:v>
                </c:pt>
                <c:pt idx="38">
                  <c:v>4.5754094497338728E-2</c:v>
                </c:pt>
                <c:pt idx="39">
                  <c:v>4.5974870224071027E-2</c:v>
                </c:pt>
                <c:pt idx="40">
                  <c:v>4.6198868407648405E-2</c:v>
                </c:pt>
                <c:pt idx="41">
                  <c:v>4.6136344936826723E-2</c:v>
                </c:pt>
                <c:pt idx="42">
                  <c:v>4.6075156331218517E-2</c:v>
                </c:pt>
                <c:pt idx="43">
                  <c:v>4.6015185265924505E-2</c:v>
                </c:pt>
                <c:pt idx="44">
                  <c:v>4.595632465984259E-2</c:v>
                </c:pt>
                <c:pt idx="45">
                  <c:v>4.5898476533030363E-2</c:v>
                </c:pt>
                <c:pt idx="46">
                  <c:v>4.5841551013191727E-2</c:v>
                </c:pt>
                <c:pt idx="47">
                  <c:v>4.57854654690832E-2</c:v>
                </c:pt>
                <c:pt idx="48">
                  <c:v>4.5730143752342842E-2</c:v>
                </c:pt>
                <c:pt idx="49">
                  <c:v>4.5675515532255621E-2</c:v>
                </c:pt>
                <c:pt idx="50">
                  <c:v>4.5621515710453225E-2</c:v>
                </c:pt>
                <c:pt idx="51">
                  <c:v>4.5568083904587907E-2</c:v>
                </c:pt>
                <c:pt idx="52">
                  <c:v>4.5515163991697978E-2</c:v>
                </c:pt>
                <c:pt idx="53">
                  <c:v>4.5462703703394433E-2</c:v>
                </c:pt>
                <c:pt idx="54">
                  <c:v>4.5410654266154767E-2</c:v>
                </c:pt>
                <c:pt idx="55">
                  <c:v>4.535897008099439E-2</c:v>
                </c:pt>
                <c:pt idx="56">
                  <c:v>4.5307608437601725E-2</c:v>
                </c:pt>
                <c:pt idx="57">
                  <c:v>4.5256529258709675E-2</c:v>
                </c:pt>
                <c:pt idx="58">
                  <c:v>4.5205694871067292E-2</c:v>
                </c:pt>
                <c:pt idx="59">
                  <c:v>4.5155069799860267E-2</c:v>
                </c:pt>
                <c:pt idx="60">
                  <c:v>4.5104620583856295E-2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2E-4A63-8CEF-9C44BCA19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1962240"/>
        <c:axId val="351963776"/>
      </c:lineChart>
      <c:catAx>
        <c:axId val="351962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351963776"/>
        <c:crosses val="autoZero"/>
        <c:auto val="1"/>
        <c:lblAlgn val="ctr"/>
        <c:lblOffset val="100"/>
        <c:noMultiLvlLbl val="0"/>
      </c:catAx>
      <c:valAx>
        <c:axId val="351963776"/>
        <c:scaling>
          <c:orientation val="minMax"/>
        </c:scaling>
        <c:delete val="0"/>
        <c:axPos val="l"/>
        <c:majorGridlines/>
        <c:numFmt formatCode="0.00" sourceLinked="0"/>
        <c:majorTickMark val="none"/>
        <c:minorTickMark val="none"/>
        <c:tickLblPos val="nextTo"/>
        <c:crossAx val="3519622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"Treasury Fitting Results for GEMS-NAIC Calibration at 02/28/2025"</c:f>
          <c:strCache>
            <c:ptCount val="1"/>
            <c:pt idx="0">
              <c:v>Treasury Fitting Results for GEMS-NAIC Calibration at 02/28/2025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GEMS-NAIC Fitted</c:v>
          </c:tx>
          <c:spPr>
            <a:ln w="508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'Tsy Recalibration'!$U$3:$CD$3</c:f>
              <c:numCache>
                <c:formatCode>General</c:formatCode>
                <c:ptCount val="62"/>
                <c:pt idx="0">
                  <c:v>8.3333333333333329E-2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1.5</c:v>
                </c:pt>
                <c:pt idx="5">
                  <c:v>2</c:v>
                </c:pt>
                <c:pt idx="6">
                  <c:v>2.5</c:v>
                </c:pt>
                <c:pt idx="7">
                  <c:v>3</c:v>
                </c:pt>
                <c:pt idx="8">
                  <c:v>3.5</c:v>
                </c:pt>
                <c:pt idx="9">
                  <c:v>4</c:v>
                </c:pt>
                <c:pt idx="10">
                  <c:v>4.5</c:v>
                </c:pt>
                <c:pt idx="11">
                  <c:v>5</c:v>
                </c:pt>
                <c:pt idx="12">
                  <c:v>5.5</c:v>
                </c:pt>
                <c:pt idx="13">
                  <c:v>6</c:v>
                </c:pt>
                <c:pt idx="14">
                  <c:v>6.5</c:v>
                </c:pt>
                <c:pt idx="15">
                  <c:v>7</c:v>
                </c:pt>
                <c:pt idx="16">
                  <c:v>7.5</c:v>
                </c:pt>
                <c:pt idx="17">
                  <c:v>8</c:v>
                </c:pt>
                <c:pt idx="18">
                  <c:v>8.5</c:v>
                </c:pt>
                <c:pt idx="19">
                  <c:v>9</c:v>
                </c:pt>
                <c:pt idx="20">
                  <c:v>9.5</c:v>
                </c:pt>
                <c:pt idx="21">
                  <c:v>10</c:v>
                </c:pt>
                <c:pt idx="22">
                  <c:v>10.5</c:v>
                </c:pt>
                <c:pt idx="23">
                  <c:v>11</c:v>
                </c:pt>
                <c:pt idx="24">
                  <c:v>11.5</c:v>
                </c:pt>
                <c:pt idx="25">
                  <c:v>12</c:v>
                </c:pt>
                <c:pt idx="26">
                  <c:v>12.5</c:v>
                </c:pt>
                <c:pt idx="27">
                  <c:v>13</c:v>
                </c:pt>
                <c:pt idx="28">
                  <c:v>13.5</c:v>
                </c:pt>
                <c:pt idx="29">
                  <c:v>14</c:v>
                </c:pt>
                <c:pt idx="30">
                  <c:v>14.5</c:v>
                </c:pt>
                <c:pt idx="31">
                  <c:v>15</c:v>
                </c:pt>
                <c:pt idx="32">
                  <c:v>15.5</c:v>
                </c:pt>
                <c:pt idx="33">
                  <c:v>16</c:v>
                </c:pt>
                <c:pt idx="34">
                  <c:v>16.5</c:v>
                </c:pt>
                <c:pt idx="35">
                  <c:v>17</c:v>
                </c:pt>
                <c:pt idx="36">
                  <c:v>17.5</c:v>
                </c:pt>
                <c:pt idx="37">
                  <c:v>18</c:v>
                </c:pt>
                <c:pt idx="38">
                  <c:v>18.5</c:v>
                </c:pt>
                <c:pt idx="39">
                  <c:v>19</c:v>
                </c:pt>
                <c:pt idx="40">
                  <c:v>19.5</c:v>
                </c:pt>
                <c:pt idx="41">
                  <c:v>20</c:v>
                </c:pt>
                <c:pt idx="42">
                  <c:v>20.5</c:v>
                </c:pt>
                <c:pt idx="43">
                  <c:v>21</c:v>
                </c:pt>
                <c:pt idx="44">
                  <c:v>21.5</c:v>
                </c:pt>
                <c:pt idx="45">
                  <c:v>22</c:v>
                </c:pt>
                <c:pt idx="46">
                  <c:v>22.5</c:v>
                </c:pt>
                <c:pt idx="47">
                  <c:v>23</c:v>
                </c:pt>
                <c:pt idx="48">
                  <c:v>23.5</c:v>
                </c:pt>
                <c:pt idx="49">
                  <c:v>24</c:v>
                </c:pt>
                <c:pt idx="50">
                  <c:v>24.5</c:v>
                </c:pt>
                <c:pt idx="51">
                  <c:v>25</c:v>
                </c:pt>
                <c:pt idx="52">
                  <c:v>25.5</c:v>
                </c:pt>
                <c:pt idx="53">
                  <c:v>26</c:v>
                </c:pt>
                <c:pt idx="54">
                  <c:v>26.5</c:v>
                </c:pt>
                <c:pt idx="55">
                  <c:v>27</c:v>
                </c:pt>
                <c:pt idx="56">
                  <c:v>27.5</c:v>
                </c:pt>
                <c:pt idx="57">
                  <c:v>28</c:v>
                </c:pt>
                <c:pt idx="58">
                  <c:v>28.5</c:v>
                </c:pt>
                <c:pt idx="59">
                  <c:v>29</c:v>
                </c:pt>
                <c:pt idx="60">
                  <c:v>29.5</c:v>
                </c:pt>
                <c:pt idx="61">
                  <c:v>30</c:v>
                </c:pt>
              </c:numCache>
            </c:numRef>
          </c:xVal>
          <c:yVal>
            <c:numRef>
              <c:f>'Tsy Recalibration'!$U$25:$CD$25</c:f>
              <c:numCache>
                <c:formatCode>0.00%</c:formatCode>
                <c:ptCount val="62"/>
                <c:pt idx="0">
                  <c:v>4.5849850938212026E-2</c:v>
                </c:pt>
                <c:pt idx="1">
                  <c:v>4.1646174188919395E-2</c:v>
                </c:pt>
                <c:pt idx="2">
                  <c:v>3.9442530618211069E-2</c:v>
                </c:pt>
                <c:pt idx="3">
                  <c:v>3.8700650537901601E-2</c:v>
                </c:pt>
                <c:pt idx="4">
                  <c:v>3.8807875617204488E-2</c:v>
                </c:pt>
                <c:pt idx="5">
                  <c:v>3.9102494906362334E-2</c:v>
                </c:pt>
                <c:pt idx="6">
                  <c:v>3.945121280937499E-2</c:v>
                </c:pt>
                <c:pt idx="7">
                  <c:v>3.9811700364955641E-2</c:v>
                </c:pt>
                <c:pt idx="8">
                  <c:v>4.0167343846450397E-2</c:v>
                </c:pt>
                <c:pt idx="9">
                  <c:v>4.0510958653491691E-2</c:v>
                </c:pt>
                <c:pt idx="10">
                  <c:v>4.083939435676464E-2</c:v>
                </c:pt>
                <c:pt idx="11">
                  <c:v>4.1151402123103663E-2</c:v>
                </c:pt>
                <c:pt idx="12">
                  <c:v>4.1446684492455012E-2</c:v>
                </c:pt>
                <c:pt idx="13">
                  <c:v>4.1725434717256996E-2</c:v>
                </c:pt>
                <c:pt idx="14">
                  <c:v>4.198809963213692E-2</c:v>
                </c:pt>
                <c:pt idx="15">
                  <c:v>4.2235252422727895E-2</c:v>
                </c:pt>
                <c:pt idx="16">
                  <c:v>4.2467522571921788E-2</c:v>
                </c:pt>
                <c:pt idx="17">
                  <c:v>4.2685556799562312E-2</c:v>
                </c:pt>
                <c:pt idx="18">
                  <c:v>4.2889997433606844E-2</c:v>
                </c:pt>
                <c:pt idx="19">
                  <c:v>4.308147068741508E-2</c:v>
                </c:pt>
                <c:pt idx="20">
                  <c:v>4.3260580706680693E-2</c:v>
                </c:pt>
                <c:pt idx="21">
                  <c:v>4.3427907000797919E-2</c:v>
                </c:pt>
                <c:pt idx="22">
                  <c:v>4.3584003740928988E-2</c:v>
                </c:pt>
                <c:pt idx="23">
                  <c:v>4.3729400189580742E-2</c:v>
                </c:pt>
                <c:pt idx="24">
                  <c:v>4.386460165255171E-2</c:v>
                </c:pt>
                <c:pt idx="25">
                  <c:v>4.3990090720502577E-2</c:v>
                </c:pt>
                <c:pt idx="26">
                  <c:v>4.4106328592657833E-2</c:v>
                </c:pt>
                <c:pt idx="27">
                  <c:v>4.4213756371259176E-2</c:v>
                </c:pt>
                <c:pt idx="28">
                  <c:v>4.4312796299241897E-2</c:v>
                </c:pt>
                <c:pt idx="29">
                  <c:v>4.4403852883960551E-2</c:v>
                </c:pt>
                <c:pt idx="30">
                  <c:v>4.4487313937541156E-2</c:v>
                </c:pt>
                <c:pt idx="31">
                  <c:v>4.4563551478535655E-2</c:v>
                </c:pt>
                <c:pt idx="32">
                  <c:v>4.4632922549888383E-2</c:v>
                </c:pt>
                <c:pt idx="33">
                  <c:v>4.4695769963922896E-2</c:v>
                </c:pt>
                <c:pt idx="34">
                  <c:v>4.4752422930141797E-2</c:v>
                </c:pt>
                <c:pt idx="35">
                  <c:v>4.4803197642033409E-2</c:v>
                </c:pt>
                <c:pt idx="36">
                  <c:v>4.4848397803053983E-2</c:v>
                </c:pt>
                <c:pt idx="37">
                  <c:v>4.4888315080115537E-2</c:v>
                </c:pt>
                <c:pt idx="38">
                  <c:v>4.4923229547494073E-2</c:v>
                </c:pt>
                <c:pt idx="39">
                  <c:v>4.495341007907714E-2</c:v>
                </c:pt>
                <c:pt idx="40">
                  <c:v>4.4979114709168176E-2</c:v>
                </c:pt>
                <c:pt idx="41">
                  <c:v>4.5000590977033475E-2</c:v>
                </c:pt>
                <c:pt idx="42">
                  <c:v>4.5018076258034417E-2</c:v>
                </c:pt>
                <c:pt idx="43">
                  <c:v>4.5031798074106413E-2</c:v>
                </c:pt>
                <c:pt idx="44">
                  <c:v>4.5041974386590265E-2</c:v>
                </c:pt>
                <c:pt idx="45">
                  <c:v>4.5048813890832408E-2</c:v>
                </c:pt>
                <c:pt idx="46">
                  <c:v>4.5052516296871126E-2</c:v>
                </c:pt>
                <c:pt idx="47">
                  <c:v>4.5053272604890733E-2</c:v>
                </c:pt>
                <c:pt idx="48">
                  <c:v>4.5051265374573359E-2</c:v>
                </c:pt>
                <c:pt idx="49">
                  <c:v>4.5046668994954929E-2</c:v>
                </c:pt>
                <c:pt idx="50">
                  <c:v>4.5039649941083185E-2</c:v>
                </c:pt>
                <c:pt idx="51">
                  <c:v>4.5030367031480292E-2</c:v>
                </c:pt>
                <c:pt idx="52">
                  <c:v>4.5018971691338637E-2</c:v>
                </c:pt>
                <c:pt idx="53">
                  <c:v>4.500560819419118E-2</c:v>
                </c:pt>
                <c:pt idx="54">
                  <c:v>4.4990413913597843E-2</c:v>
                </c:pt>
                <c:pt idx="55">
                  <c:v>4.4973519571295792E-2</c:v>
                </c:pt>
                <c:pt idx="56">
                  <c:v>4.4955049465970558E-2</c:v>
                </c:pt>
                <c:pt idx="57">
                  <c:v>4.4935121721423457E-2</c:v>
                </c:pt>
                <c:pt idx="58">
                  <c:v>4.4913848519080438E-2</c:v>
                </c:pt>
                <c:pt idx="59">
                  <c:v>4.4891336310945933E-2</c:v>
                </c:pt>
                <c:pt idx="60">
                  <c:v>4.4867686063946068E-2</c:v>
                </c:pt>
                <c:pt idx="61">
                  <c:v>4.4842993463738989E-2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168-43ED-851E-45646BD103AD}"/>
            </c:ext>
          </c:extLst>
        </c:ser>
        <c:ser>
          <c:idx val="1"/>
          <c:order val="1"/>
          <c:tx>
            <c:v>Actual</c:v>
          </c:tx>
          <c:spPr>
            <a:ln w="508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'Tsy Recalibration'!$L$5:$L$15</c:f>
              <c:numCache>
                <c:formatCode>General</c:formatCode>
                <c:ptCount val="11"/>
                <c:pt idx="0">
                  <c:v>8.3333333333333329E-2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5</c:v>
                </c:pt>
                <c:pt idx="7">
                  <c:v>7</c:v>
                </c:pt>
                <c:pt idx="8">
                  <c:v>10</c:v>
                </c:pt>
                <c:pt idx="9">
                  <c:v>20</c:v>
                </c:pt>
                <c:pt idx="10">
                  <c:v>30</c:v>
                </c:pt>
              </c:numCache>
            </c:numRef>
          </c:xVal>
          <c:yVal>
            <c:numRef>
              <c:f>'Tsy Recalibration'!$M$5:$M$15</c:f>
              <c:numCache>
                <c:formatCode>0.00%</c:formatCode>
                <c:ptCount val="11"/>
                <c:pt idx="0">
                  <c:v>4.3799999999999999E-2</c:v>
                </c:pt>
                <c:pt idx="1">
                  <c:v>4.3200000000000002E-2</c:v>
                </c:pt>
                <c:pt idx="2">
                  <c:v>4.2500000000000003E-2</c:v>
                </c:pt>
                <c:pt idx="3">
                  <c:v>4.0800000000000003E-2</c:v>
                </c:pt>
                <c:pt idx="4">
                  <c:v>3.9900000000000005E-2</c:v>
                </c:pt>
                <c:pt idx="5">
                  <c:v>3.9900000000000005E-2</c:v>
                </c:pt>
                <c:pt idx="6">
                  <c:v>4.0300000000000002E-2</c:v>
                </c:pt>
                <c:pt idx="7">
                  <c:v>4.1399999999999999E-2</c:v>
                </c:pt>
                <c:pt idx="8">
                  <c:v>4.24E-2</c:v>
                </c:pt>
                <c:pt idx="9">
                  <c:v>4.5499999999999999E-2</c:v>
                </c:pt>
                <c:pt idx="10">
                  <c:v>4.5100000000000001E-2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168-43ED-851E-45646BD10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3575464"/>
        <c:axId val="793574808"/>
      </c:scatterChart>
      <c:valAx>
        <c:axId val="793575464"/>
        <c:scaling>
          <c:orientation val="minMax"/>
          <c:max val="3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>
                    <a:latin typeface="Arial" panose="020B0604020202020204" pitchFamily="34" charset="0"/>
                    <a:cs typeface="Arial" panose="020B0604020202020204" pitchFamily="34" charset="0"/>
                  </a:rPr>
                  <a:t>Years to Maturity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93574808"/>
        <c:crosses val="autoZero"/>
        <c:crossBetween val="midCat"/>
      </c:valAx>
      <c:valAx>
        <c:axId val="793574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Par Yield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%" sourceLinked="0"/>
        <c:majorTickMark val="none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935754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788880A-94C1-457F-A46D-52C4EC955CA9}">
  <sheetPr codeName="Chart1"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0</xdr:colOff>
      <xdr:row>43</xdr:row>
      <xdr:rowOff>123824</xdr:rowOff>
    </xdr:from>
    <xdr:to>
      <xdr:col>41</xdr:col>
      <xdr:colOff>571500</xdr:colOff>
      <xdr:row>67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F3F0E02-8806-4562-9751-D0CB052DC1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8349" cy="629009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AB5350-5425-DD42-34E0-3B4CD82461A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0.69283</cdr:x>
      <cdr:y>0.58741</cdr:y>
    </cdr:from>
    <cdr:to>
      <cdr:x>0.81725</cdr:x>
      <cdr:y>0.70339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4D2F31CB-A18E-C93A-3226-2EA855989F88}"/>
            </a:ext>
          </a:extLst>
        </cdr:cNvPr>
        <cdr:cNvSpPr txBox="1"/>
      </cdr:nvSpPr>
      <cdr:spPr>
        <a:xfrm xmlns:a="http://schemas.openxmlformats.org/drawingml/2006/main">
          <a:off x="6007128" y="3702165"/>
          <a:ext cx="1078760" cy="730966"/>
        </a:xfrm>
        <a:prstGeom xmlns:a="http://schemas.openxmlformats.org/drawingml/2006/main" prst="rect">
          <a:avLst/>
        </a:prstGeom>
        <a:solidFill xmlns:a="http://schemas.openxmlformats.org/drawingml/2006/main">
          <a:schemeClr val="bg2"/>
        </a:solidFill>
        <a:ln xmlns:a="http://schemas.openxmlformats.org/drawingml/2006/main">
          <a:noFill/>
        </a:ln>
        <a:effectLst xmlns:a="http://schemas.openxmlformats.org/drawingml/2006/main">
          <a:outerShdw blurRad="50800" dist="38100" dir="2700000" algn="tl" rotWithShape="0">
            <a:prstClr val="black">
              <a:alpha val="40000"/>
            </a:prstClr>
          </a:outerShdw>
        </a:effectLst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0285C30-FAF6-4AFF-A700-EE0DF17688A6}" type="TxLink">
            <a:rPr lang="en-US" sz="1000" b="0" i="0" u="none" strike="noStrike" kern="1200">
              <a:solidFill>
                <a:sysClr val="windowText" lastClr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pPr/>
            <a:t>State Variables
6.1487%   x1
6.9480%   x2 
4.5635%   x3</a:t>
          </a:fld>
          <a:endParaRPr lang="en-US" sz="1000" kern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C9476-F225-4161-A135-3D1EFD811C01}">
  <sheetPr codeName="Sheet26"/>
  <dimension ref="A1:CF112"/>
  <sheetViews>
    <sheetView tabSelected="1" zoomScale="90" zoomScaleNormal="90" workbookViewId="0"/>
  </sheetViews>
  <sheetFormatPr defaultColWidth="9.1796875" defaultRowHeight="14.5" x14ac:dyDescent="0.35"/>
  <cols>
    <col min="1" max="1" width="16.7265625" style="2" customWidth="1"/>
    <col min="2" max="3" width="9.54296875" style="2" bestFit="1" customWidth="1"/>
    <col min="4" max="4" width="12.453125" style="2" bestFit="1" customWidth="1"/>
    <col min="5" max="16" width="9.1796875" style="2"/>
    <col min="17" max="17" width="12" style="2" bestFit="1" customWidth="1"/>
    <col min="18" max="18" width="6.81640625" style="2" customWidth="1"/>
    <col min="19" max="19" width="27" style="2" bestFit="1" customWidth="1"/>
    <col min="20" max="20" width="17.81640625" style="2" customWidth="1"/>
    <col min="21" max="82" width="12.7265625" style="2" customWidth="1"/>
    <col min="83" max="16384" width="9.1796875" style="2"/>
  </cols>
  <sheetData>
    <row r="1" spans="1:84" x14ac:dyDescent="0.35">
      <c r="A1" s="1" t="s">
        <v>0</v>
      </c>
      <c r="B1" t="s">
        <v>63</v>
      </c>
      <c r="C1"/>
      <c r="D1"/>
      <c r="E1"/>
      <c r="F1"/>
      <c r="G1"/>
      <c r="I1" s="1" t="s">
        <v>1</v>
      </c>
      <c r="L1" s="2" t="str">
        <f>"State Variables"&amp;CHAR(10)&amp;TEXT(ROUND(U37,6),"0.0000%")&amp;"   x1"&amp;CHAR(10)&amp;TEXT(ROUND(U36,6),"0.0000%")&amp;"   x2 "&amp;CHAR(10)&amp;TEXT(ROUND(U35,6),"0.0000%")&amp;"   x3"</f>
        <v>State Variables
6.1487%   x1
6.9480%   x2 
4.5635%   x3</v>
      </c>
    </row>
    <row r="2" spans="1:84" x14ac:dyDescent="0.35">
      <c r="A2" s="1" t="s">
        <v>2</v>
      </c>
      <c r="B2" s="3" t="s">
        <v>3</v>
      </c>
      <c r="C2" s="3"/>
      <c r="D2" s="3"/>
      <c r="E2" s="3"/>
      <c r="F2" s="3"/>
      <c r="L2" s="1" t="s">
        <v>4</v>
      </c>
      <c r="T2" s="4" t="s">
        <v>5</v>
      </c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</row>
    <row r="3" spans="1:84" x14ac:dyDescent="0.3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L3"/>
      <c r="M3" s="51" t="s">
        <v>12</v>
      </c>
      <c r="N3" s="51"/>
      <c r="O3" s="51"/>
      <c r="P3"/>
      <c r="T3" t="s">
        <v>13</v>
      </c>
      <c r="U3">
        <f>1/12</f>
        <v>8.3333333333333329E-2</v>
      </c>
      <c r="V3">
        <v>0.25</v>
      </c>
      <c r="W3">
        <v>0.5</v>
      </c>
      <c r="X3">
        <f t="shared" ref="X3:CD3" si="0">W3+0.5</f>
        <v>1</v>
      </c>
      <c r="Y3">
        <f t="shared" si="0"/>
        <v>1.5</v>
      </c>
      <c r="Z3">
        <f t="shared" si="0"/>
        <v>2</v>
      </c>
      <c r="AA3">
        <f t="shared" si="0"/>
        <v>2.5</v>
      </c>
      <c r="AB3">
        <f t="shared" si="0"/>
        <v>3</v>
      </c>
      <c r="AC3">
        <f t="shared" si="0"/>
        <v>3.5</v>
      </c>
      <c r="AD3">
        <f t="shared" si="0"/>
        <v>4</v>
      </c>
      <c r="AE3">
        <f t="shared" si="0"/>
        <v>4.5</v>
      </c>
      <c r="AF3">
        <f t="shared" si="0"/>
        <v>5</v>
      </c>
      <c r="AG3">
        <f t="shared" si="0"/>
        <v>5.5</v>
      </c>
      <c r="AH3">
        <f t="shared" si="0"/>
        <v>6</v>
      </c>
      <c r="AI3">
        <f t="shared" si="0"/>
        <v>6.5</v>
      </c>
      <c r="AJ3">
        <f t="shared" si="0"/>
        <v>7</v>
      </c>
      <c r="AK3">
        <f t="shared" si="0"/>
        <v>7.5</v>
      </c>
      <c r="AL3">
        <f t="shared" si="0"/>
        <v>8</v>
      </c>
      <c r="AM3">
        <f t="shared" si="0"/>
        <v>8.5</v>
      </c>
      <c r="AN3">
        <f t="shared" si="0"/>
        <v>9</v>
      </c>
      <c r="AO3">
        <f t="shared" si="0"/>
        <v>9.5</v>
      </c>
      <c r="AP3">
        <f t="shared" si="0"/>
        <v>10</v>
      </c>
      <c r="AQ3">
        <f t="shared" si="0"/>
        <v>10.5</v>
      </c>
      <c r="AR3">
        <f t="shared" si="0"/>
        <v>11</v>
      </c>
      <c r="AS3">
        <f t="shared" si="0"/>
        <v>11.5</v>
      </c>
      <c r="AT3">
        <f t="shared" si="0"/>
        <v>12</v>
      </c>
      <c r="AU3">
        <f t="shared" si="0"/>
        <v>12.5</v>
      </c>
      <c r="AV3">
        <f t="shared" si="0"/>
        <v>13</v>
      </c>
      <c r="AW3">
        <f t="shared" si="0"/>
        <v>13.5</v>
      </c>
      <c r="AX3">
        <f t="shared" si="0"/>
        <v>14</v>
      </c>
      <c r="AY3">
        <f t="shared" si="0"/>
        <v>14.5</v>
      </c>
      <c r="AZ3">
        <f t="shared" si="0"/>
        <v>15</v>
      </c>
      <c r="BA3">
        <f t="shared" si="0"/>
        <v>15.5</v>
      </c>
      <c r="BB3">
        <f t="shared" si="0"/>
        <v>16</v>
      </c>
      <c r="BC3">
        <f t="shared" si="0"/>
        <v>16.5</v>
      </c>
      <c r="BD3">
        <f t="shared" si="0"/>
        <v>17</v>
      </c>
      <c r="BE3">
        <f t="shared" si="0"/>
        <v>17.5</v>
      </c>
      <c r="BF3">
        <f t="shared" si="0"/>
        <v>18</v>
      </c>
      <c r="BG3">
        <f t="shared" si="0"/>
        <v>18.5</v>
      </c>
      <c r="BH3">
        <f t="shared" si="0"/>
        <v>19</v>
      </c>
      <c r="BI3">
        <f t="shared" si="0"/>
        <v>19.5</v>
      </c>
      <c r="BJ3">
        <f t="shared" si="0"/>
        <v>20</v>
      </c>
      <c r="BK3">
        <f t="shared" si="0"/>
        <v>20.5</v>
      </c>
      <c r="BL3">
        <f t="shared" si="0"/>
        <v>21</v>
      </c>
      <c r="BM3">
        <f t="shared" si="0"/>
        <v>21.5</v>
      </c>
      <c r="BN3">
        <f t="shared" si="0"/>
        <v>22</v>
      </c>
      <c r="BO3">
        <f t="shared" si="0"/>
        <v>22.5</v>
      </c>
      <c r="BP3">
        <f t="shared" si="0"/>
        <v>23</v>
      </c>
      <c r="BQ3">
        <f t="shared" si="0"/>
        <v>23.5</v>
      </c>
      <c r="BR3">
        <f t="shared" si="0"/>
        <v>24</v>
      </c>
      <c r="BS3">
        <f t="shared" si="0"/>
        <v>24.5</v>
      </c>
      <c r="BT3">
        <f t="shared" si="0"/>
        <v>25</v>
      </c>
      <c r="BU3">
        <f t="shared" si="0"/>
        <v>25.5</v>
      </c>
      <c r="BV3">
        <f t="shared" si="0"/>
        <v>26</v>
      </c>
      <c r="BW3">
        <f t="shared" si="0"/>
        <v>26.5</v>
      </c>
      <c r="BX3">
        <f t="shared" si="0"/>
        <v>27</v>
      </c>
      <c r="BY3">
        <f t="shared" si="0"/>
        <v>27.5</v>
      </c>
      <c r="BZ3">
        <f t="shared" si="0"/>
        <v>28</v>
      </c>
      <c r="CA3">
        <f t="shared" si="0"/>
        <v>28.5</v>
      </c>
      <c r="CB3">
        <f t="shared" si="0"/>
        <v>29</v>
      </c>
      <c r="CC3">
        <f t="shared" si="0"/>
        <v>29.5</v>
      </c>
      <c r="CD3">
        <f t="shared" si="0"/>
        <v>30</v>
      </c>
      <c r="CE3"/>
      <c r="CF3"/>
    </row>
    <row r="4" spans="1:84" x14ac:dyDescent="0.35">
      <c r="A4" s="2" t="s">
        <v>14</v>
      </c>
      <c r="B4" s="5">
        <v>0.470582</v>
      </c>
      <c r="C4" s="5">
        <v>9.7615580000000008</v>
      </c>
      <c r="D4" s="5">
        <v>2.5264999999999899E-2</v>
      </c>
      <c r="E4" s="6">
        <f>SQRT(CIR1_Kappa^2+2*CIR1_Sigma^2)</f>
        <v>9.7616233910049015</v>
      </c>
      <c r="F4" s="6">
        <f>CIR1_Kappa+CIR1_Gamma</f>
        <v>19.523181391004904</v>
      </c>
      <c r="L4"/>
      <c r="M4" s="7" t="s">
        <v>15</v>
      </c>
      <c r="N4" s="7" t="s">
        <v>16</v>
      </c>
      <c r="O4" s="7" t="s">
        <v>17</v>
      </c>
      <c r="P4"/>
      <c r="Q4" s="1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</row>
    <row r="5" spans="1:84" x14ac:dyDescent="0.35">
      <c r="A5" s="2" t="s">
        <v>18</v>
      </c>
      <c r="B5" s="5">
        <v>1.55E-2</v>
      </c>
      <c r="C5" s="5">
        <v>0.202316</v>
      </c>
      <c r="D5" s="5">
        <v>5.7519000000000001E-2</v>
      </c>
      <c r="E5" s="6">
        <f>SQRT(CIR2_Kappa^2+2*CIR2_Sigma^2)</f>
        <v>0.21805649400556726</v>
      </c>
      <c r="F5" s="6">
        <f>CIR2_Kappa+CIR2_Gamma</f>
        <v>0.42037249400556725</v>
      </c>
      <c r="L5">
        <f>1/12</f>
        <v>8.3333333333333329E-2</v>
      </c>
      <c r="M5" s="49">
        <v>4.3799999999999999E-2</v>
      </c>
      <c r="N5" s="8">
        <f>'Tsy Recalibration'!$U$25</f>
        <v>4.5849850938212026E-2</v>
      </c>
      <c r="O5" s="8">
        <f t="shared" ref="O5:O15" si="1">M5-N5</f>
        <v>-2.0498509382120278E-3</v>
      </c>
      <c r="P5"/>
      <c r="T5" s="9" t="s">
        <v>14</v>
      </c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</row>
    <row r="6" spans="1:84" x14ac:dyDescent="0.35">
      <c r="A6" s="11" t="s">
        <v>19</v>
      </c>
      <c r="B6" s="5">
        <v>1.2669999999999899E-3</v>
      </c>
      <c r="C6" s="5">
        <v>1.7E-5</v>
      </c>
      <c r="D6" s="5">
        <v>4.8503999999999901E-2</v>
      </c>
      <c r="E6" s="6">
        <f>SQRT(CIR3_Kappa^2+2*CIR3_Sigma^2)</f>
        <v>6.8595016735911521E-2</v>
      </c>
      <c r="F6" s="6">
        <f>CIR3_Kappa+CIR3_Gamma</f>
        <v>6.8612016735911524E-2</v>
      </c>
      <c r="L6">
        <v>0.25</v>
      </c>
      <c r="M6" s="49">
        <v>4.3200000000000002E-2</v>
      </c>
      <c r="N6" s="8">
        <f>'Tsy Recalibration'!$V$25</f>
        <v>4.1646174188919395E-2</v>
      </c>
      <c r="O6" s="8">
        <f t="shared" si="1"/>
        <v>1.5538258110806072E-3</v>
      </c>
      <c r="P6"/>
      <c r="T6" s="12" t="s">
        <v>20</v>
      </c>
      <c r="U6">
        <f t="shared" ref="U6:AZ6" si="2">(2*CIR1_Theta/CIR1_Sigma^2)*LN(2*CIR1_Gamma*EXP(CIR1_Gam_Kap*U$3/2)/(CIR1_Gam_Kap*(EXP(CIR1_Gamma*U$3)-1)+2*CIR1_Gamma))</f>
        <v>-1.2681296697593368E-3</v>
      </c>
      <c r="V6">
        <f t="shared" si="2"/>
        <v>-7.5436650968542778E-3</v>
      </c>
      <c r="W6">
        <f t="shared" si="2"/>
        <v>-1.9202762196206712E-2</v>
      </c>
      <c r="X6">
        <f t="shared" si="2"/>
        <v>-4.3269315394147349E-2</v>
      </c>
      <c r="Y6">
        <f t="shared" si="2"/>
        <v>-6.7372788961709812E-2</v>
      </c>
      <c r="Z6">
        <f t="shared" si="2"/>
        <v>-9.1476542788458293E-2</v>
      </c>
      <c r="AA6">
        <f t="shared" si="2"/>
        <v>-0.11558029874520973</v>
      </c>
      <c r="AB6">
        <f t="shared" si="2"/>
        <v>-0.13968405470802395</v>
      </c>
      <c r="AC6">
        <f t="shared" si="2"/>
        <v>-0.16378781067602557</v>
      </c>
      <c r="AD6">
        <f t="shared" si="2"/>
        <v>-0.18789156664899428</v>
      </c>
      <c r="AE6">
        <f t="shared" si="2"/>
        <v>-0.2119953226224531</v>
      </c>
      <c r="AF6">
        <f t="shared" si="2"/>
        <v>-0.2360990785956904</v>
      </c>
      <c r="AG6">
        <f t="shared" si="2"/>
        <v>-0.26020283455849863</v>
      </c>
      <c r="AH6">
        <f t="shared" si="2"/>
        <v>-0.28430659052113566</v>
      </c>
      <c r="AI6">
        <f t="shared" si="2"/>
        <v>-0.30841034649435123</v>
      </c>
      <c r="AJ6">
        <f t="shared" si="2"/>
        <v>-0.33251410245713175</v>
      </c>
      <c r="AK6">
        <f t="shared" si="2"/>
        <v>-0.35661785845150051</v>
      </c>
      <c r="AL6">
        <f t="shared" si="2"/>
        <v>-0.38072161440355717</v>
      </c>
      <c r="AM6">
        <f t="shared" si="2"/>
        <v>-0.40482537035597999</v>
      </c>
      <c r="AN6">
        <f t="shared" si="2"/>
        <v>-0.42892912634997638</v>
      </c>
      <c r="AO6">
        <f t="shared" si="2"/>
        <v>-0.45303288230247346</v>
      </c>
      <c r="AP6">
        <f t="shared" si="2"/>
        <v>-0.47713663829643399</v>
      </c>
      <c r="AQ6">
        <f t="shared" si="2"/>
        <v>-0.50124039424894629</v>
      </c>
      <c r="AR6">
        <f t="shared" si="2"/>
        <v>-0.52534415022217951</v>
      </c>
      <c r="AS6">
        <f t="shared" si="2"/>
        <v>-0.54944790619528217</v>
      </c>
      <c r="AT6">
        <f t="shared" si="2"/>
        <v>-0.57355166214723774</v>
      </c>
      <c r="AU6">
        <f t="shared" si="2"/>
        <v>-0.59765541812073186</v>
      </c>
      <c r="AV6">
        <f t="shared" si="2"/>
        <v>-0.62175917409376624</v>
      </c>
      <c r="AW6">
        <f t="shared" si="2"/>
        <v>-0.64586293008790319</v>
      </c>
      <c r="AX6">
        <f t="shared" si="2"/>
        <v>-0.66996668601940235</v>
      </c>
      <c r="AY6">
        <f t="shared" si="2"/>
        <v>-0.69407044199269285</v>
      </c>
      <c r="AZ6">
        <f t="shared" si="2"/>
        <v>-0.71817419800788607</v>
      </c>
      <c r="BA6">
        <f t="shared" ref="BA6:CD6" si="3">(2*CIR1_Theta/CIR1_Sigma^2)*LN(2*CIR1_Gamma*EXP(CIR1_Gam_Kap*BA$3/2)/(CIR1_Gam_Kap*(EXP(CIR1_Gamma*BA$3)-1)+2*CIR1_Gamma))</f>
        <v>-0.74227795393914797</v>
      </c>
      <c r="BB6">
        <f t="shared" si="3"/>
        <v>-0.76638170991236709</v>
      </c>
      <c r="BC6">
        <f t="shared" si="3"/>
        <v>-0.79048546588523561</v>
      </c>
      <c r="BD6">
        <f t="shared" si="3"/>
        <v>-0.81458922181658855</v>
      </c>
      <c r="BE6">
        <f t="shared" si="3"/>
        <v>-0.83869297783199603</v>
      </c>
      <c r="BF6">
        <f t="shared" si="3"/>
        <v>-0.86279673380496091</v>
      </c>
      <c r="BG6">
        <f t="shared" si="3"/>
        <v>-0.88690048973641</v>
      </c>
      <c r="BH6">
        <f t="shared" si="3"/>
        <v>-0.91100424570982408</v>
      </c>
      <c r="BI6">
        <f t="shared" si="3"/>
        <v>-0.93510800172482389</v>
      </c>
      <c r="BJ6">
        <f t="shared" si="3"/>
        <v>-0.95921175769798239</v>
      </c>
      <c r="BK6">
        <f t="shared" si="3"/>
        <v>-0.98331551362924419</v>
      </c>
      <c r="BL6">
        <f t="shared" si="3"/>
        <v>-1.0074192696022595</v>
      </c>
      <c r="BM6">
        <f t="shared" si="3"/>
        <v>-1.031523025575861</v>
      </c>
      <c r="BN6">
        <f t="shared" si="3"/>
        <v>-1.055626781548848</v>
      </c>
      <c r="BO6">
        <f t="shared" si="3"/>
        <v>-1.0797305375221513</v>
      </c>
      <c r="BP6">
        <f t="shared" si="3"/>
        <v>-1.1038342934952261</v>
      </c>
      <c r="BQ6">
        <f t="shared" si="3"/>
        <v>-1.1279380494267366</v>
      </c>
      <c r="BR6">
        <f t="shared" si="3"/>
        <v>-1.1520418053998505</v>
      </c>
      <c r="BS6">
        <f t="shared" si="3"/>
        <v>-1.1761455614151723</v>
      </c>
      <c r="BT6">
        <f t="shared" si="3"/>
        <v>-1.2002493173461761</v>
      </c>
      <c r="BU6">
        <f t="shared" si="3"/>
        <v>-1.2243530733197745</v>
      </c>
      <c r="BV6">
        <f t="shared" si="3"/>
        <v>-1.2484568292928286</v>
      </c>
      <c r="BW6">
        <f t="shared" si="3"/>
        <v>-1.2725605852241635</v>
      </c>
      <c r="BX6">
        <f t="shared" si="3"/>
        <v>-1.2966643412813328</v>
      </c>
      <c r="BY6">
        <f t="shared" si="3"/>
        <v>-1.3207680972544085</v>
      </c>
      <c r="BZ6">
        <f t="shared" si="3"/>
        <v>-1.3448718531438264</v>
      </c>
      <c r="CA6">
        <f t="shared" si="3"/>
        <v>-1.3689756092007088</v>
      </c>
      <c r="CB6">
        <f t="shared" si="3"/>
        <v>-1.3930793650904303</v>
      </c>
      <c r="CC6">
        <f t="shared" si="3"/>
        <v>-1.4171831210634616</v>
      </c>
      <c r="CD6">
        <f t="shared" si="3"/>
        <v>-1.4412868771205751</v>
      </c>
      <c r="CE6"/>
      <c r="CF6"/>
    </row>
    <row r="7" spans="1:84" x14ac:dyDescent="0.35">
      <c r="C7" s="13"/>
      <c r="L7">
        <v>0.5</v>
      </c>
      <c r="M7" s="49">
        <v>4.2500000000000003E-2</v>
      </c>
      <c r="N7" s="8">
        <f ca="1">OFFSET('Tsy Recalibration'!$V$25,0,2*$L7)</f>
        <v>3.9442530618211069E-2</v>
      </c>
      <c r="O7" s="8">
        <f t="shared" ca="1" si="1"/>
        <v>3.057469381788934E-3</v>
      </c>
      <c r="P7"/>
      <c r="T7" s="12" t="s">
        <v>21</v>
      </c>
      <c r="U7">
        <f t="shared" ref="U7:AZ7" si="4">(-2*(EXP(CIR1_Gamma*U$3)-1))/(CIR1_Gam_Kap*(EXP(CIR1_Gamma*U$3)-1)+2*CIR1_Gamma)</f>
        <v>-5.7027742025323819E-2</v>
      </c>
      <c r="V7">
        <f t="shared" si="4"/>
        <v>-9.3516956147673219E-2</v>
      </c>
      <c r="W7">
        <f t="shared" si="4"/>
        <v>-0.10166469335351198</v>
      </c>
      <c r="X7">
        <f t="shared" si="4"/>
        <v>-0.10243641738256672</v>
      </c>
      <c r="Y7">
        <f t="shared" si="4"/>
        <v>-0.10244227542411363</v>
      </c>
      <c r="Z7">
        <f t="shared" si="4"/>
        <v>-0.10244231989162872</v>
      </c>
      <c r="AA7">
        <f t="shared" si="4"/>
        <v>-0.10244232022917497</v>
      </c>
      <c r="AB7">
        <f t="shared" si="4"/>
        <v>-0.10244232023173723</v>
      </c>
      <c r="AC7">
        <f t="shared" si="4"/>
        <v>-0.10244232023175667</v>
      </c>
      <c r="AD7">
        <f t="shared" si="4"/>
        <v>-0.10244232023175683</v>
      </c>
      <c r="AE7">
        <f t="shared" si="4"/>
        <v>-0.10244232023175683</v>
      </c>
      <c r="AF7">
        <f t="shared" si="4"/>
        <v>-0.10244232023175683</v>
      </c>
      <c r="AG7">
        <f t="shared" si="4"/>
        <v>-0.10244232023175681</v>
      </c>
      <c r="AH7">
        <f t="shared" si="4"/>
        <v>-0.10244232023175681</v>
      </c>
      <c r="AI7">
        <f t="shared" si="4"/>
        <v>-0.10244232023175683</v>
      </c>
      <c r="AJ7">
        <f t="shared" si="4"/>
        <v>-0.10244232023175683</v>
      </c>
      <c r="AK7">
        <f t="shared" si="4"/>
        <v>-0.10244232023175681</v>
      </c>
      <c r="AL7">
        <f t="shared" si="4"/>
        <v>-0.10244232023175681</v>
      </c>
      <c r="AM7">
        <f t="shared" si="4"/>
        <v>-0.10244232023175683</v>
      </c>
      <c r="AN7">
        <f t="shared" si="4"/>
        <v>-0.10244232023175681</v>
      </c>
      <c r="AO7">
        <f t="shared" si="4"/>
        <v>-0.10244232023175683</v>
      </c>
      <c r="AP7">
        <f t="shared" si="4"/>
        <v>-0.10244232023175683</v>
      </c>
      <c r="AQ7">
        <f t="shared" si="4"/>
        <v>-0.10244232023175683</v>
      </c>
      <c r="AR7">
        <f t="shared" si="4"/>
        <v>-0.10244232023175681</v>
      </c>
      <c r="AS7">
        <f t="shared" si="4"/>
        <v>-0.10244232023175683</v>
      </c>
      <c r="AT7">
        <f t="shared" si="4"/>
        <v>-0.10244232023175683</v>
      </c>
      <c r="AU7">
        <f t="shared" si="4"/>
        <v>-0.10244232023175683</v>
      </c>
      <c r="AV7">
        <f t="shared" si="4"/>
        <v>-0.10244232023175683</v>
      </c>
      <c r="AW7">
        <f t="shared" si="4"/>
        <v>-0.10244232023175681</v>
      </c>
      <c r="AX7">
        <f t="shared" si="4"/>
        <v>-0.10244232023175683</v>
      </c>
      <c r="AY7">
        <f t="shared" si="4"/>
        <v>-0.10244232023175683</v>
      </c>
      <c r="AZ7">
        <f t="shared" si="4"/>
        <v>-0.10244232023175683</v>
      </c>
      <c r="BA7">
        <f t="shared" ref="BA7:CD7" si="5">(-2*(EXP(CIR1_Gamma*BA$3)-1))/(CIR1_Gam_Kap*(EXP(CIR1_Gamma*BA$3)-1)+2*CIR1_Gamma)</f>
        <v>-0.10244232023175681</v>
      </c>
      <c r="BB7">
        <f t="shared" si="5"/>
        <v>-0.10244232023175681</v>
      </c>
      <c r="BC7">
        <f t="shared" si="5"/>
        <v>-0.10244232023175683</v>
      </c>
      <c r="BD7">
        <f t="shared" si="5"/>
        <v>-0.10244232023175683</v>
      </c>
      <c r="BE7">
        <f t="shared" si="5"/>
        <v>-0.10244232023175683</v>
      </c>
      <c r="BF7">
        <f t="shared" si="5"/>
        <v>-0.10244232023175683</v>
      </c>
      <c r="BG7">
        <f t="shared" si="5"/>
        <v>-0.10244232023175683</v>
      </c>
      <c r="BH7">
        <f t="shared" si="5"/>
        <v>-0.10244232023175683</v>
      </c>
      <c r="BI7">
        <f t="shared" si="5"/>
        <v>-0.10244232023175683</v>
      </c>
      <c r="BJ7">
        <f t="shared" si="5"/>
        <v>-0.10244232023175683</v>
      </c>
      <c r="BK7">
        <f t="shared" si="5"/>
        <v>-0.10244232023175683</v>
      </c>
      <c r="BL7">
        <f t="shared" si="5"/>
        <v>-0.10244232023175683</v>
      </c>
      <c r="BM7">
        <f t="shared" si="5"/>
        <v>-0.10244232023175681</v>
      </c>
      <c r="BN7">
        <f t="shared" si="5"/>
        <v>-0.10244232023175683</v>
      </c>
      <c r="BO7">
        <f t="shared" si="5"/>
        <v>-0.10244232023175683</v>
      </c>
      <c r="BP7">
        <f t="shared" si="5"/>
        <v>-0.10244232023175683</v>
      </c>
      <c r="BQ7">
        <f t="shared" si="5"/>
        <v>-0.10244232023175683</v>
      </c>
      <c r="BR7">
        <f t="shared" si="5"/>
        <v>-0.10244232023175681</v>
      </c>
      <c r="BS7">
        <f t="shared" si="5"/>
        <v>-0.10244232023175681</v>
      </c>
      <c r="BT7">
        <f t="shared" si="5"/>
        <v>-0.10244232023175683</v>
      </c>
      <c r="BU7">
        <f t="shared" si="5"/>
        <v>-0.10244232023175681</v>
      </c>
      <c r="BV7">
        <f t="shared" si="5"/>
        <v>-0.10244232023175681</v>
      </c>
      <c r="BW7">
        <f t="shared" si="5"/>
        <v>-0.10244232023175683</v>
      </c>
      <c r="BX7">
        <f t="shared" si="5"/>
        <v>-0.10244232023175681</v>
      </c>
      <c r="BY7">
        <f t="shared" si="5"/>
        <v>-0.10244232023175683</v>
      </c>
      <c r="BZ7">
        <f t="shared" si="5"/>
        <v>-0.10244232023175683</v>
      </c>
      <c r="CA7">
        <f t="shared" si="5"/>
        <v>-0.10244232023175683</v>
      </c>
      <c r="CB7">
        <f t="shared" si="5"/>
        <v>-0.10244232023175683</v>
      </c>
      <c r="CC7">
        <f t="shared" si="5"/>
        <v>-0.10244232023175683</v>
      </c>
      <c r="CD7">
        <f t="shared" si="5"/>
        <v>-0.10244232023175683</v>
      </c>
      <c r="CE7"/>
      <c r="CF7"/>
    </row>
    <row r="8" spans="1:84" x14ac:dyDescent="0.35">
      <c r="A8" s="2" t="s">
        <v>22</v>
      </c>
      <c r="B8" s="2" t="s">
        <v>23</v>
      </c>
      <c r="C8" s="13"/>
      <c r="L8">
        <v>1</v>
      </c>
      <c r="M8" s="49">
        <v>4.0800000000000003E-2</v>
      </c>
      <c r="N8" s="8">
        <f ca="1">OFFSET('Tsy Recalibration'!$V$25,0,2*$L8)</f>
        <v>3.8700650537901601E-2</v>
      </c>
      <c r="O8" s="8">
        <f t="shared" ca="1" si="1"/>
        <v>2.0993494620984016E-3</v>
      </c>
      <c r="P8"/>
      <c r="T8" s="12" t="s">
        <v>24</v>
      </c>
      <c r="U8">
        <f t="shared" ref="U8:CD9" si="6">U6*-1/U$3</f>
        <v>1.5217556037112041E-2</v>
      </c>
      <c r="V8">
        <f t="shared" si="6"/>
        <v>3.0174660387417111E-2</v>
      </c>
      <c r="W8">
        <f t="shared" si="6"/>
        <v>3.8405524392413425E-2</v>
      </c>
      <c r="X8">
        <f t="shared" si="6"/>
        <v>4.3269315394147349E-2</v>
      </c>
      <c r="Y8">
        <f t="shared" si="6"/>
        <v>4.4915192641139877E-2</v>
      </c>
      <c r="Z8">
        <f t="shared" si="6"/>
        <v>4.5738271394229146E-2</v>
      </c>
      <c r="AA8">
        <f t="shared" si="6"/>
        <v>4.6232119498083889E-2</v>
      </c>
      <c r="AB8">
        <f t="shared" si="6"/>
        <v>4.6561351569341318E-2</v>
      </c>
      <c r="AC8">
        <f t="shared" si="6"/>
        <v>4.6796517336007308E-2</v>
      </c>
      <c r="AD8">
        <f t="shared" si="6"/>
        <v>4.6972891662248571E-2</v>
      </c>
      <c r="AE8">
        <f t="shared" si="6"/>
        <v>4.7110071693878465E-2</v>
      </c>
      <c r="AF8">
        <f t="shared" si="6"/>
        <v>4.7219815719138081E-2</v>
      </c>
      <c r="AG8">
        <f t="shared" si="6"/>
        <v>4.7309606283363385E-2</v>
      </c>
      <c r="AH8">
        <f t="shared" si="6"/>
        <v>4.738443175352261E-2</v>
      </c>
      <c r="AI8">
        <f t="shared" si="6"/>
        <v>4.7447745614515577E-2</v>
      </c>
      <c r="AJ8">
        <f t="shared" si="6"/>
        <v>4.7502014636733106E-2</v>
      </c>
      <c r="AK8">
        <f t="shared" si="6"/>
        <v>4.7549047793533403E-2</v>
      </c>
      <c r="AL8">
        <f t="shared" si="6"/>
        <v>4.7590201800444647E-2</v>
      </c>
      <c r="AM8">
        <f t="shared" si="6"/>
        <v>4.762651415952706E-2</v>
      </c>
      <c r="AN8">
        <f t="shared" si="6"/>
        <v>4.7658791816664041E-2</v>
      </c>
      <c r="AO8">
        <f t="shared" si="6"/>
        <v>4.7687671821312998E-2</v>
      </c>
      <c r="AP8">
        <f t="shared" si="6"/>
        <v>4.7713663829643399E-2</v>
      </c>
      <c r="AQ8">
        <f t="shared" si="6"/>
        <v>4.7737180404661551E-2</v>
      </c>
      <c r="AR8">
        <f t="shared" si="6"/>
        <v>4.7758559111107227E-2</v>
      </c>
      <c r="AS8">
        <f t="shared" si="6"/>
        <v>4.777807879958975E-2</v>
      </c>
      <c r="AT8">
        <f t="shared" si="6"/>
        <v>4.7795971845603143E-2</v>
      </c>
      <c r="AU8">
        <f t="shared" si="6"/>
        <v>4.7812433449658548E-2</v>
      </c>
      <c r="AV8">
        <f t="shared" si="6"/>
        <v>4.7827628776443559E-2</v>
      </c>
      <c r="AW8">
        <f t="shared" si="6"/>
        <v>4.7841698525029869E-2</v>
      </c>
      <c r="AX8">
        <f t="shared" si="6"/>
        <v>4.7854763287100165E-2</v>
      </c>
      <c r="AY8">
        <f t="shared" si="6"/>
        <v>4.7866927033978816E-2</v>
      </c>
      <c r="AZ8">
        <f t="shared" si="6"/>
        <v>4.7878279867192404E-2</v>
      </c>
      <c r="BA8">
        <f t="shared" si="6"/>
        <v>4.7888900254138576E-2</v>
      </c>
      <c r="BB8">
        <f t="shared" si="6"/>
        <v>4.7898856869522943E-2</v>
      </c>
      <c r="BC8">
        <f t="shared" si="6"/>
        <v>4.7908210053650646E-2</v>
      </c>
      <c r="BD8">
        <f t="shared" si="6"/>
        <v>4.7917013048034619E-2</v>
      </c>
      <c r="BE8">
        <f t="shared" si="6"/>
        <v>4.7925313018971204E-2</v>
      </c>
      <c r="BF8">
        <f t="shared" si="6"/>
        <v>4.7933151878053387E-2</v>
      </c>
      <c r="BG8">
        <f t="shared" si="6"/>
        <v>4.794056701277892E-2</v>
      </c>
      <c r="BH8">
        <f t="shared" si="6"/>
        <v>4.7947591879464423E-2</v>
      </c>
      <c r="BI8">
        <f t="shared" si="6"/>
        <v>4.7954256498708915E-2</v>
      </c>
      <c r="BJ8">
        <f t="shared" si="6"/>
        <v>4.7960587884899118E-2</v>
      </c>
      <c r="BK8">
        <f t="shared" si="6"/>
        <v>4.7966610420938742E-2</v>
      </c>
      <c r="BL8">
        <f t="shared" si="6"/>
        <v>4.7972346171536166E-2</v>
      </c>
      <c r="BM8">
        <f t="shared" si="6"/>
        <v>4.7977815143063297E-2</v>
      </c>
      <c r="BN8">
        <f t="shared" si="6"/>
        <v>4.7983035524947641E-2</v>
      </c>
      <c r="BO8">
        <f t="shared" si="6"/>
        <v>4.7988023889873395E-2</v>
      </c>
      <c r="BP8">
        <f t="shared" si="6"/>
        <v>4.7992795369357653E-2</v>
      </c>
      <c r="BQ8">
        <f t="shared" si="6"/>
        <v>4.7997363805393045E-2</v>
      </c>
      <c r="BR8">
        <f t="shared" si="6"/>
        <v>4.8001741891660434E-2</v>
      </c>
      <c r="BS8">
        <f t="shared" si="6"/>
        <v>4.8005941282251934E-2</v>
      </c>
      <c r="BT8">
        <f t="shared" si="6"/>
        <v>4.8009972693847047E-2</v>
      </c>
      <c r="BU8">
        <f t="shared" si="6"/>
        <v>4.8013846012540176E-2</v>
      </c>
      <c r="BV8">
        <f t="shared" si="6"/>
        <v>4.8017570357416488E-2</v>
      </c>
      <c r="BW8">
        <f t="shared" si="6"/>
        <v>4.8021154159402397E-2</v>
      </c>
      <c r="BX8">
        <f t="shared" si="6"/>
        <v>4.8024605232641952E-2</v>
      </c>
      <c r="BY8">
        <f t="shared" si="6"/>
        <v>4.8027930809251218E-2</v>
      </c>
      <c r="BZ8">
        <f t="shared" si="6"/>
        <v>4.8031137612279513E-2</v>
      </c>
      <c r="CA8">
        <f t="shared" si="6"/>
        <v>4.8034231901779259E-2</v>
      </c>
      <c r="CB8">
        <f t="shared" si="6"/>
        <v>4.8037219485876907E-2</v>
      </c>
      <c r="CC8">
        <f t="shared" si="6"/>
        <v>4.8040105798761411E-2</v>
      </c>
      <c r="CD8">
        <f t="shared" si="6"/>
        <v>4.8042895904019174E-2</v>
      </c>
      <c r="CE8"/>
      <c r="CF8"/>
    </row>
    <row r="9" spans="1:84" x14ac:dyDescent="0.35">
      <c r="A9" s="2">
        <v>0</v>
      </c>
      <c r="B9" s="14">
        <v>-0.12761614070111499</v>
      </c>
      <c r="C9" s="13"/>
      <c r="L9">
        <v>2</v>
      </c>
      <c r="M9" s="49">
        <v>3.9900000000000005E-2</v>
      </c>
      <c r="N9" s="8">
        <f ca="1">OFFSET('Tsy Recalibration'!$V$25,0,2*$L9)</f>
        <v>3.9102494906362334E-2</v>
      </c>
      <c r="O9" s="8">
        <f t="shared" ca="1" si="1"/>
        <v>7.9750509363767097E-4</v>
      </c>
      <c r="P9"/>
      <c r="T9" s="15" t="s">
        <v>25</v>
      </c>
      <c r="U9" s="16">
        <f t="shared" si="6"/>
        <v>0.68433290430388583</v>
      </c>
      <c r="V9" s="16">
        <f t="shared" si="6"/>
        <v>0.37406782459069288</v>
      </c>
      <c r="W9" s="16">
        <f t="shared" si="6"/>
        <v>0.20332938670702397</v>
      </c>
      <c r="X9" s="16">
        <f t="shared" si="6"/>
        <v>0.10243641738256672</v>
      </c>
      <c r="Y9" s="16">
        <f t="shared" si="6"/>
        <v>6.8294850282742417E-2</v>
      </c>
      <c r="Z9" s="16">
        <f t="shared" si="6"/>
        <v>5.122115994581436E-2</v>
      </c>
      <c r="AA9" s="16">
        <f t="shared" si="6"/>
        <v>4.0976928091669987E-2</v>
      </c>
      <c r="AB9" s="16">
        <f t="shared" si="6"/>
        <v>3.4147440077245746E-2</v>
      </c>
      <c r="AC9" s="16">
        <f t="shared" si="6"/>
        <v>2.9269234351930479E-2</v>
      </c>
      <c r="AD9" s="16">
        <f t="shared" si="6"/>
        <v>2.5610580057939206E-2</v>
      </c>
      <c r="AE9" s="16">
        <f t="shared" si="6"/>
        <v>2.2764960051501516E-2</v>
      </c>
      <c r="AF9" s="16">
        <f t="shared" si="6"/>
        <v>2.0488464046351365E-2</v>
      </c>
      <c r="AG9" s="16">
        <f t="shared" si="6"/>
        <v>1.8625876405773966E-2</v>
      </c>
      <c r="AH9" s="16">
        <f t="shared" si="6"/>
        <v>1.7073720038626134E-2</v>
      </c>
      <c r="AI9" s="16">
        <f t="shared" si="6"/>
        <v>1.5760356958731819E-2</v>
      </c>
      <c r="AJ9" s="16">
        <f t="shared" si="6"/>
        <v>1.4634617175965261E-2</v>
      </c>
      <c r="AK9" s="16">
        <f t="shared" si="6"/>
        <v>1.3658976030900908E-2</v>
      </c>
      <c r="AL9" s="16">
        <f t="shared" si="6"/>
        <v>1.2805290028969601E-2</v>
      </c>
      <c r="AM9" s="16">
        <f t="shared" si="6"/>
        <v>1.2052037674324332E-2</v>
      </c>
      <c r="AN9" s="16">
        <f t="shared" si="6"/>
        <v>1.1382480025750756E-2</v>
      </c>
      <c r="AO9" s="16">
        <f t="shared" si="6"/>
        <v>1.0783402129658613E-2</v>
      </c>
      <c r="AP9" s="16">
        <f t="shared" si="6"/>
        <v>1.0244232023175683E-2</v>
      </c>
      <c r="AQ9" s="16">
        <f t="shared" si="6"/>
        <v>9.7564114506435064E-3</v>
      </c>
      <c r="AR9" s="16">
        <f t="shared" si="6"/>
        <v>9.312938202886983E-3</v>
      </c>
      <c r="AS9" s="16">
        <f t="shared" si="6"/>
        <v>8.9080278462397248E-3</v>
      </c>
      <c r="AT9" s="16">
        <f t="shared" si="6"/>
        <v>8.5368600193130688E-3</v>
      </c>
      <c r="AU9" s="16">
        <f t="shared" si="6"/>
        <v>8.1953856185405464E-3</v>
      </c>
      <c r="AV9" s="16">
        <f t="shared" si="6"/>
        <v>7.8801784793659096E-3</v>
      </c>
      <c r="AW9" s="16">
        <f t="shared" si="6"/>
        <v>7.5883200171671713E-3</v>
      </c>
      <c r="AX9" s="16">
        <f t="shared" si="6"/>
        <v>7.3173085879826303E-3</v>
      </c>
      <c r="AY9" s="16">
        <f t="shared" si="6"/>
        <v>7.0649876021901259E-3</v>
      </c>
      <c r="AZ9" s="16">
        <f t="shared" si="6"/>
        <v>6.829488015450455E-3</v>
      </c>
      <c r="BA9" s="16">
        <f t="shared" si="6"/>
        <v>6.6091819504359231E-3</v>
      </c>
      <c r="BB9" s="16">
        <f t="shared" si="6"/>
        <v>6.4026450144848007E-3</v>
      </c>
      <c r="BC9" s="16">
        <f t="shared" si="6"/>
        <v>6.2086254685913226E-3</v>
      </c>
      <c r="BD9" s="16">
        <f t="shared" si="6"/>
        <v>6.0260188371621662E-3</v>
      </c>
      <c r="BE9" s="16">
        <f t="shared" si="6"/>
        <v>5.8538468703861046E-3</v>
      </c>
      <c r="BF9" s="16">
        <f t="shared" si="6"/>
        <v>5.6912400128753789E-3</v>
      </c>
      <c r="BG9" s="16">
        <f t="shared" si="6"/>
        <v>5.5374227152300984E-3</v>
      </c>
      <c r="BH9" s="16">
        <f t="shared" si="6"/>
        <v>5.3917010648293065E-3</v>
      </c>
      <c r="BI9" s="16">
        <f t="shared" si="6"/>
        <v>5.2534523195772731E-3</v>
      </c>
      <c r="BJ9" s="16">
        <f t="shared" si="6"/>
        <v>5.1221160115878413E-3</v>
      </c>
      <c r="BK9" s="16">
        <f t="shared" si="6"/>
        <v>4.9971863527686258E-3</v>
      </c>
      <c r="BL9" s="16">
        <f t="shared" si="6"/>
        <v>4.8782057253217532E-3</v>
      </c>
      <c r="BM9" s="16">
        <f t="shared" si="6"/>
        <v>4.7647590805468282E-3</v>
      </c>
      <c r="BN9" s="16">
        <f t="shared" si="6"/>
        <v>4.6564691014434924E-3</v>
      </c>
      <c r="BO9" s="16">
        <f t="shared" si="6"/>
        <v>4.5529920103003036E-3</v>
      </c>
      <c r="BP9" s="16">
        <f t="shared" si="6"/>
        <v>4.4540139231198624E-3</v>
      </c>
      <c r="BQ9" s="16">
        <f t="shared" si="6"/>
        <v>4.3592476694364604E-3</v>
      </c>
      <c r="BR9" s="16">
        <f t="shared" si="6"/>
        <v>4.2684300096565335E-3</v>
      </c>
      <c r="BS9" s="16">
        <f t="shared" si="6"/>
        <v>4.1813191931329308E-3</v>
      </c>
      <c r="BT9" s="16">
        <f t="shared" si="6"/>
        <v>4.0976928092702732E-3</v>
      </c>
      <c r="BU9" s="16">
        <f t="shared" si="6"/>
        <v>4.0173458914414435E-3</v>
      </c>
      <c r="BV9" s="16">
        <f t="shared" si="6"/>
        <v>3.940089239682954E-3</v>
      </c>
      <c r="BW9" s="16">
        <f t="shared" si="6"/>
        <v>3.8657479332738424E-3</v>
      </c>
      <c r="BX9" s="16">
        <f t="shared" si="6"/>
        <v>3.7941600085835856E-3</v>
      </c>
      <c r="BY9" s="16">
        <f t="shared" si="6"/>
        <v>3.7251752811547937E-3</v>
      </c>
      <c r="BZ9" s="16">
        <f t="shared" si="6"/>
        <v>3.6586542939913151E-3</v>
      </c>
      <c r="CA9" s="16">
        <f t="shared" si="6"/>
        <v>3.594467376552871E-3</v>
      </c>
      <c r="CB9" s="16">
        <f t="shared" si="6"/>
        <v>3.5324938010950629E-3</v>
      </c>
      <c r="CC9" s="16">
        <f t="shared" si="6"/>
        <v>3.4726210248053162E-3</v>
      </c>
      <c r="CD9" s="16">
        <f t="shared" si="6"/>
        <v>3.4147440077252275E-3</v>
      </c>
      <c r="CE9" s="16"/>
      <c r="CF9" s="16"/>
    </row>
    <row r="10" spans="1:84" x14ac:dyDescent="0.35">
      <c r="A10" s="3" t="s">
        <v>26</v>
      </c>
      <c r="B10" s="17"/>
      <c r="C10" s="18"/>
      <c r="D10" s="3"/>
      <c r="E10" s="3"/>
      <c r="F10" s="3"/>
      <c r="G10" s="3"/>
      <c r="L10">
        <v>3</v>
      </c>
      <c r="M10" s="49">
        <v>3.9900000000000005E-2</v>
      </c>
      <c r="N10" s="8">
        <f ca="1">OFFSET('Tsy Recalibration'!$V$25,0,2*$L10)</f>
        <v>3.9811700364955641E-2</v>
      </c>
      <c r="O10" s="8">
        <f t="shared" ca="1" si="1"/>
        <v>8.8299635044364333E-5</v>
      </c>
      <c r="P10"/>
      <c r="T10" s="9" t="s">
        <v>18</v>
      </c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</row>
    <row r="11" spans="1:84" x14ac:dyDescent="0.35">
      <c r="A11" s="19" t="s">
        <v>22</v>
      </c>
      <c r="B11" s="19" t="s">
        <v>23</v>
      </c>
      <c r="C11" s="20" t="s">
        <v>27</v>
      </c>
      <c r="D11" s="19"/>
      <c r="E11" s="19" t="s">
        <v>28</v>
      </c>
      <c r="F11" s="19" t="s">
        <v>29</v>
      </c>
      <c r="G11" s="19"/>
      <c r="L11">
        <v>5</v>
      </c>
      <c r="M11" s="49">
        <v>4.0300000000000002E-2</v>
      </c>
      <c r="N11" s="8">
        <f ca="1">OFFSET('Tsy Recalibration'!$V$25,0,2*$L11)</f>
        <v>4.1151402123103663E-2</v>
      </c>
      <c r="O11" s="8">
        <f t="shared" ca="1" si="1"/>
        <v>-8.5140212310366031E-4</v>
      </c>
      <c r="P11"/>
      <c r="T11" s="12" t="s">
        <v>20</v>
      </c>
      <c r="U11">
        <f t="shared" ref="U11:AZ11" si="7">(2*CIR2_Theta/CIR2_Sigma^2)*LN(2*CIR2_Gamma*EXP(CIR2_Gam_Kap*U$3/2)/(CIR2_Gam_Kap*(EXP(CIR2_Gamma*U$3)-1)+2*CIR2_Gamma))</f>
        <v>-5.3518154037938632E-5</v>
      </c>
      <c r="V11">
        <f t="shared" si="7"/>
        <v>-4.7630280898878846E-4</v>
      </c>
      <c r="W11">
        <f t="shared" si="7"/>
        <v>-1.8736649064649725E-3</v>
      </c>
      <c r="X11">
        <f t="shared" si="7"/>
        <v>-7.2509307115014594E-3</v>
      </c>
      <c r="Y11">
        <f t="shared" si="7"/>
        <v>-1.5791141920179514E-2</v>
      </c>
      <c r="Z11">
        <f t="shared" si="7"/>
        <v>-2.7184833155932162E-2</v>
      </c>
      <c r="AA11">
        <f t="shared" si="7"/>
        <v>-4.1151246024817754E-2</v>
      </c>
      <c r="AB11">
        <f t="shared" si="7"/>
        <v>-5.7435969703117318E-2</v>
      </c>
      <c r="AC11">
        <f t="shared" si="7"/>
        <v>-7.5808715321345296E-2</v>
      </c>
      <c r="AD11">
        <f t="shared" si="7"/>
        <v>-9.6061229522749231E-2</v>
      </c>
      <c r="AE11">
        <f t="shared" si="7"/>
        <v>-0.11800534887051053</v>
      </c>
      <c r="AF11">
        <f t="shared" si="7"/>
        <v>-0.14147119391567517</v>
      </c>
      <c r="AG11">
        <f t="shared" si="7"/>
        <v>-0.16630549957967963</v>
      </c>
      <c r="AH11">
        <f t="shared" si="7"/>
        <v>-0.19237007692900326</v>
      </c>
      <c r="AI11">
        <f t="shared" si="7"/>
        <v>-0.21954040031673236</v>
      </c>
      <c r="AJ11">
        <f t="shared" si="7"/>
        <v>-0.24770431314433317</v>
      </c>
      <c r="AK11">
        <f t="shared" si="7"/>
        <v>-0.27676084507705923</v>
      </c>
      <c r="AL11">
        <f t="shared" si="7"/>
        <v>-0.30661913336250052</v>
      </c>
      <c r="AM11">
        <f t="shared" si="7"/>
        <v>-0.33719744089850145</v>
      </c>
      <c r="AN11">
        <f t="shared" si="7"/>
        <v>-0.36842226382858156</v>
      </c>
      <c r="AO11">
        <f t="shared" si="7"/>
        <v>-0.40022752167421921</v>
      </c>
      <c r="AP11">
        <f t="shared" si="7"/>
        <v>-0.43255382331357833</v>
      </c>
      <c r="AQ11">
        <f t="shared" si="7"/>
        <v>-0.46534780246265384</v>
      </c>
      <c r="AR11">
        <f t="shared" si="7"/>
        <v>-0.49856151668902621</v>
      </c>
      <c r="AS11">
        <f t="shared" si="7"/>
        <v>-0.53215190437584303</v>
      </c>
      <c r="AT11">
        <f t="shared" si="7"/>
        <v>-0.56608029444392693</v>
      </c>
      <c r="AU11">
        <f t="shared" si="7"/>
        <v>-0.60031196402501763</v>
      </c>
      <c r="AV11">
        <f t="shared" si="7"/>
        <v>-0.63481573965246141</v>
      </c>
      <c r="AW11">
        <f t="shared" si="7"/>
        <v>-0.66956363789432205</v>
      </c>
      <c r="AX11">
        <f t="shared" si="7"/>
        <v>-0.70453054169395779</v>
      </c>
      <c r="AY11">
        <f t="shared" si="7"/>
        <v>-0.73969390900357423</v>
      </c>
      <c r="AZ11">
        <f t="shared" si="7"/>
        <v>-0.77503351059610093</v>
      </c>
      <c r="BA11">
        <f t="shared" ref="BA11:CD11" si="8">(2*CIR2_Theta/CIR2_Sigma^2)*LN(2*CIR2_Gamma*EXP(CIR2_Gam_Kap*BA$3/2)/(CIR2_Gam_Kap*(EXP(CIR2_Gamma*BA$3)-1)+2*CIR2_Gamma))</f>
        <v>-0.81053119421995257</v>
      </c>
      <c r="BB11">
        <f t="shared" si="8"/>
        <v>-0.84617067251918443</v>
      </c>
      <c r="BC11">
        <f t="shared" si="8"/>
        <v>-0.88193733238040817</v>
      </c>
      <c r="BD11">
        <f t="shared" si="8"/>
        <v>-0.91781806358652218</v>
      </c>
      <c r="BE11">
        <f t="shared" si="8"/>
        <v>-0.95380110485835645</v>
      </c>
      <c r="BF11">
        <f t="shared" si="8"/>
        <v>-0.98987590554883897</v>
      </c>
      <c r="BG11">
        <f t="shared" si="8"/>
        <v>-1.0260330014216503</v>
      </c>
      <c r="BH11">
        <f t="shared" si="8"/>
        <v>-1.0622639030990693</v>
      </c>
      <c r="BI11">
        <f t="shared" si="8"/>
        <v>-1.0985609959017657</v>
      </c>
      <c r="BJ11">
        <f t="shared" si="8"/>
        <v>-1.134917449929572</v>
      </c>
      <c r="BK11">
        <f t="shared" si="8"/>
        <v>-1.1713271393458562</v>
      </c>
      <c r="BL11">
        <f t="shared" si="8"/>
        <v>-1.2077845699312773</v>
      </c>
      <c r="BM11">
        <f t="shared" si="8"/>
        <v>-1.2442848140661384</v>
      </c>
      <c r="BN11">
        <f t="shared" si="8"/>
        <v>-1.2808234523845998</v>
      </c>
      <c r="BO11">
        <f t="shared" si="8"/>
        <v>-1.3173965214204431</v>
      </c>
      <c r="BP11">
        <f t="shared" si="8"/>
        <v>-1.3540004666320067</v>
      </c>
      <c r="BQ11">
        <f t="shared" si="8"/>
        <v>-1.3906321002566449</v>
      </c>
      <c r="BR11">
        <f t="shared" si="8"/>
        <v>-1.4272885635001711</v>
      </c>
      <c r="BS11">
        <f t="shared" si="8"/>
        <v>-1.4639672926169258</v>
      </c>
      <c r="BT11">
        <f t="shared" si="8"/>
        <v>-1.5006659884818863</v>
      </c>
      <c r="BU11">
        <f t="shared" si="8"/>
        <v>-1.5373825892960644</v>
      </c>
      <c r="BV11">
        <f t="shared" si="8"/>
        <v>-1.5741152461036645</v>
      </c>
      <c r="BW11">
        <f t="shared" si="8"/>
        <v>-1.6108623008319281</v>
      </c>
      <c r="BX11">
        <f t="shared" si="8"/>
        <v>-1.6476222665944267</v>
      </c>
      <c r="BY11">
        <f t="shared" si="8"/>
        <v>-1.6843938100248501</v>
      </c>
      <c r="BZ11">
        <f t="shared" si="8"/>
        <v>-1.7211757354323918</v>
      </c>
      <c r="CA11">
        <f t="shared" si="8"/>
        <v>-1.7579669705913126</v>
      </c>
      <c r="CB11">
        <f t="shared" si="8"/>
        <v>-1.7947665539960973</v>
      </c>
      <c r="CC11">
        <f t="shared" si="8"/>
        <v>-1.831573623431568</v>
      </c>
      <c r="CD11">
        <f t="shared" si="8"/>
        <v>-1.8683874057222511</v>
      </c>
      <c r="CE11"/>
      <c r="CF11"/>
    </row>
    <row r="12" spans="1:84" x14ac:dyDescent="0.35">
      <c r="A12" s="19">
        <v>0</v>
      </c>
      <c r="B12" s="21">
        <f>Shift</f>
        <v>-0.12761614070111499</v>
      </c>
      <c r="C12" s="20">
        <v>0</v>
      </c>
      <c r="D12" s="19"/>
      <c r="E12" s="19">
        <f>1/12</f>
        <v>8.3333333333333329E-2</v>
      </c>
      <c r="F12" s="19">
        <f>VLOOKUP(E12,'Tsy Recalibration'!$X$45:$AC$106,6)</f>
        <v>4.2938065075694858E-2</v>
      </c>
      <c r="G12" s="19"/>
      <c r="L12">
        <v>7</v>
      </c>
      <c r="M12" s="49">
        <v>4.1399999999999999E-2</v>
      </c>
      <c r="N12" s="8">
        <f ca="1">OFFSET('Tsy Recalibration'!$V$25,0,2*$L12)</f>
        <v>4.2235252422727895E-2</v>
      </c>
      <c r="O12" s="8">
        <f t="shared" ca="1" si="1"/>
        <v>-8.3525242272789596E-4</v>
      </c>
      <c r="P12"/>
      <c r="T12" s="12" t="s">
        <v>21</v>
      </c>
      <c r="U12">
        <f t="shared" ref="U12:AZ12" si="9">(-2*(EXP(CIR2_Gamma*U$3)-1))/(CIR2_Gam_Kap*(EXP(CIR2_Gamma*U$3)-1)+2*CIR2_Gamma)</f>
        <v>-8.2634464763192819E-2</v>
      </c>
      <c r="V12">
        <f t="shared" si="9"/>
        <v>-0.24377469231608356</v>
      </c>
      <c r="W12">
        <f t="shared" si="9"/>
        <v>-0.47547979223452891</v>
      </c>
      <c r="X12">
        <f t="shared" si="9"/>
        <v>-0.90488136014839315</v>
      </c>
      <c r="Y12">
        <f t="shared" si="9"/>
        <v>-1.2923942885701847</v>
      </c>
      <c r="Z12">
        <f t="shared" si="9"/>
        <v>-1.6418803892255536</v>
      </c>
      <c r="AA12">
        <f t="shared" si="9"/>
        <v>-1.9568887772037973</v>
      </c>
      <c r="AB12">
        <f t="shared" si="9"/>
        <v>-2.240672597767527</v>
      </c>
      <c r="AC12">
        <f t="shared" si="9"/>
        <v>-2.4962067270203629</v>
      </c>
      <c r="AD12">
        <f t="shared" si="9"/>
        <v>-2.7262059079052863</v>
      </c>
      <c r="AE12">
        <f t="shared" si="9"/>
        <v>-2.933142901008329</v>
      </c>
      <c r="AF12">
        <f t="shared" si="9"/>
        <v>-3.1192663290772935</v>
      </c>
      <c r="AG12">
        <f t="shared" si="9"/>
        <v>-3.2866179768002346</v>
      </c>
      <c r="AH12">
        <f t="shared" si="9"/>
        <v>-3.4370493751531637</v>
      </c>
      <c r="AI12">
        <f t="shared" si="9"/>
        <v>-3.5722375544649636</v>
      </c>
      <c r="AJ12">
        <f t="shared" si="9"/>
        <v>-3.6936998941211843</v>
      </c>
      <c r="AK12">
        <f t="shared" si="9"/>
        <v>-3.8028080312570811</v>
      </c>
      <c r="AL12">
        <f t="shared" si="9"/>
        <v>-3.9008008174220925</v>
      </c>
      <c r="AM12">
        <f t="shared" si="9"/>
        <v>-3.9887963323974205</v>
      </c>
      <c r="AN12">
        <f t="shared" si="9"/>
        <v>-4.0678029792985981</v>
      </c>
      <c r="AO12">
        <f t="shared" si="9"/>
        <v>-4.1387296958069726</v>
      </c>
      <c r="AP12">
        <f t="shared" si="9"/>
        <v>-4.2023953237019107</v>
      </c>
      <c r="AQ12">
        <f t="shared" si="9"/>
        <v>-4.2595371835224496</v>
      </c>
      <c r="AR12">
        <f t="shared" si="9"/>
        <v>-4.3108189037632307</v>
      </c>
      <c r="AS12">
        <f t="shared" si="9"/>
        <v>-4.3568375549885152</v>
      </c>
      <c r="AT12">
        <f t="shared" si="9"/>
        <v>-4.3981301390228351</v>
      </c>
      <c r="AU12">
        <f t="shared" si="9"/>
        <v>-4.4351794822639237</v>
      </c>
      <c r="AV12">
        <f t="shared" si="9"/>
        <v>-4.468419580415536</v>
      </c>
      <c r="AW12">
        <f t="shared" si="9"/>
        <v>-4.4982404397544187</v>
      </c>
      <c r="AX12">
        <f t="shared" si="9"/>
        <v>-4.5249924575832576</v>
      </c>
      <c r="AY12">
        <f t="shared" si="9"/>
        <v>-4.5489903819008486</v>
      </c>
      <c r="AZ12">
        <f t="shared" si="9"/>
        <v>-4.5705168876341791</v>
      </c>
      <c r="BA12">
        <f t="shared" ref="BA12:CD12" si="10">(-2*(EXP(CIR2_Gamma*BA$3)-1))/(CIR2_Gam_Kap*(EXP(CIR2_Gamma*BA$3)-1)+2*CIR2_Gamma)</f>
        <v>-4.589825804093743</v>
      </c>
      <c r="BB12">
        <f t="shared" si="10"/>
        <v>-4.6071450256840896</v>
      </c>
      <c r="BC12">
        <f t="shared" si="10"/>
        <v>-4.6226791353625414</v>
      </c>
      <c r="BD12">
        <f t="shared" si="10"/>
        <v>-4.6366117679149514</v>
      </c>
      <c r="BE12">
        <f t="shared" si="10"/>
        <v>-4.6491077378245178</v>
      </c>
      <c r="BF12">
        <f t="shared" si="10"/>
        <v>-4.6603149543567701</v>
      </c>
      <c r="BG12">
        <f t="shared" si="10"/>
        <v>-4.6703661444752678</v>
      </c>
      <c r="BH12">
        <f t="shared" si="10"/>
        <v>-4.6793804023379373</v>
      </c>
      <c r="BI12">
        <f t="shared" si="10"/>
        <v>-4.6874645824009775</v>
      </c>
      <c r="BJ12">
        <f t="shared" si="10"/>
        <v>-4.6947145515707431</v>
      </c>
      <c r="BK12">
        <f t="shared" si="10"/>
        <v>-4.7012163143880583</v>
      </c>
      <c r="BL12">
        <f t="shared" si="10"/>
        <v>-4.7070470238969042</v>
      </c>
      <c r="BM12">
        <f t="shared" si="10"/>
        <v>-4.7122758896327417</v>
      </c>
      <c r="BN12">
        <f t="shared" si="10"/>
        <v>-4.7169649930572737</v>
      </c>
      <c r="BO12">
        <f t="shared" si="10"/>
        <v>-4.7211700197582687</v>
      </c>
      <c r="BP12">
        <f t="shared" si="10"/>
        <v>-4.7249409168176824</v>
      </c>
      <c r="BQ12">
        <f t="shared" si="10"/>
        <v>-4.7283224829212767</v>
      </c>
      <c r="BR12">
        <f t="shared" si="10"/>
        <v>-4.7313548980312063</v>
      </c>
      <c r="BS12">
        <f t="shared" si="10"/>
        <v>-4.7340741987630732</v>
      </c>
      <c r="BT12">
        <f t="shared" si="10"/>
        <v>-4.7365127049943281</v>
      </c>
      <c r="BU12">
        <f t="shared" si="10"/>
        <v>-4.7386994026759703</v>
      </c>
      <c r="BV12">
        <f t="shared" si="10"/>
        <v>-4.7406602873187316</v>
      </c>
      <c r="BW12">
        <f t="shared" si="10"/>
        <v>-4.7424186721734145</v>
      </c>
      <c r="BX12">
        <f t="shared" si="10"/>
        <v>-4.7439954647181324</v>
      </c>
      <c r="BY12">
        <f t="shared" si="10"/>
        <v>-4.7454094146987194</v>
      </c>
      <c r="BZ12">
        <f t="shared" si="10"/>
        <v>-4.7466773366386237</v>
      </c>
      <c r="CA12">
        <f t="shared" si="10"/>
        <v>-4.7478143094376755</v>
      </c>
      <c r="CB12">
        <f t="shared" si="10"/>
        <v>-4.7488338554120455</v>
      </c>
      <c r="CC12">
        <f t="shared" si="10"/>
        <v>-4.7497481008875075</v>
      </c>
      <c r="CD12">
        <f t="shared" si="10"/>
        <v>-4.7505679202422098</v>
      </c>
      <c r="CE12"/>
      <c r="CF12"/>
    </row>
    <row r="13" spans="1:84" x14ac:dyDescent="0.35">
      <c r="A13" s="19">
        <v>8.3333333333333329E-2</v>
      </c>
      <c r="B13" s="21">
        <f t="shared" ref="B13" si="11">2*Shift+2*(C13*A13-C12*A12)/(A13-A12)-B12</f>
        <v>-0.13155245448777109</v>
      </c>
      <c r="C13" s="20" cm="1">
        <f t="array" ref="C13:C74">'Tsy Recalibration'!AC45:AC106-TRANSPOSE('Tsy Recalibration'!$U$23:$CD$23)</f>
        <v>-1.968156893328056E-3</v>
      </c>
      <c r="D13" s="19"/>
      <c r="E13" s="19">
        <v>5</v>
      </c>
      <c r="F13" s="19">
        <f>VLOOKUP(E13,'Tsy Recalibration'!$X$45:$AC$106,6)</f>
        <v>3.9914802289955489E-2</v>
      </c>
      <c r="G13" s="19"/>
      <c r="L13">
        <v>10</v>
      </c>
      <c r="M13" s="49">
        <v>4.24E-2</v>
      </c>
      <c r="N13" s="8">
        <f ca="1">OFFSET('Tsy Recalibration'!$V$25,0,2*$L13)</f>
        <v>4.3427907000797919E-2</v>
      </c>
      <c r="O13" s="8">
        <f t="shared" ca="1" si="1"/>
        <v>-1.0279070007979188E-3</v>
      </c>
      <c r="P13"/>
      <c r="T13" s="12" t="s">
        <v>24</v>
      </c>
      <c r="U13">
        <f t="shared" ref="U13:CD14" si="12">U11*-1/U$3</f>
        <v>6.4221784845526367E-4</v>
      </c>
      <c r="V13">
        <f t="shared" si="12"/>
        <v>1.9052112359551538E-3</v>
      </c>
      <c r="W13">
        <f t="shared" si="12"/>
        <v>3.7473298129299449E-3</v>
      </c>
      <c r="X13">
        <f t="shared" si="12"/>
        <v>7.2509307115014594E-3</v>
      </c>
      <c r="Y13">
        <f t="shared" si="12"/>
        <v>1.0527427946786343E-2</v>
      </c>
      <c r="Z13">
        <f t="shared" si="12"/>
        <v>1.3592416577966081E-2</v>
      </c>
      <c r="AA13">
        <f t="shared" si="12"/>
        <v>1.6460498409927103E-2</v>
      </c>
      <c r="AB13">
        <f t="shared" si="12"/>
        <v>1.914532323437244E-2</v>
      </c>
      <c r="AC13">
        <f t="shared" si="12"/>
        <v>2.1659632948955797E-2</v>
      </c>
      <c r="AD13">
        <f t="shared" si="12"/>
        <v>2.4015307380687308E-2</v>
      </c>
      <c r="AE13">
        <f t="shared" si="12"/>
        <v>2.6223410860113452E-2</v>
      </c>
      <c r="AF13">
        <f t="shared" si="12"/>
        <v>2.8294238783135035E-2</v>
      </c>
      <c r="AG13">
        <f t="shared" si="12"/>
        <v>3.0237363559941752E-2</v>
      </c>
      <c r="AH13">
        <f t="shared" si="12"/>
        <v>3.2061679488167211E-2</v>
      </c>
      <c r="AI13">
        <f t="shared" si="12"/>
        <v>3.3775446202574208E-2</v>
      </c>
      <c r="AJ13">
        <f t="shared" si="12"/>
        <v>3.5386330449190449E-2</v>
      </c>
      <c r="AK13">
        <f t="shared" si="12"/>
        <v>3.6901446010274563E-2</v>
      </c>
      <c r="AL13">
        <f t="shared" si="12"/>
        <v>3.8327391670312565E-2</v>
      </c>
      <c r="AM13">
        <f t="shared" si="12"/>
        <v>3.9670287164529583E-2</v>
      </c>
      <c r="AN13">
        <f t="shared" si="12"/>
        <v>4.0935807092064617E-2</v>
      </c>
      <c r="AO13">
        <f t="shared" si="12"/>
        <v>4.2129212807812545E-2</v>
      </c>
      <c r="AP13">
        <f t="shared" si="12"/>
        <v>4.3255382331357832E-2</v>
      </c>
      <c r="AQ13">
        <f t="shared" si="12"/>
        <v>4.4318838329776553E-2</v>
      </c>
      <c r="AR13">
        <f t="shared" si="12"/>
        <v>4.5323774244456931E-2</v>
      </c>
      <c r="AS13">
        <f t="shared" si="12"/>
        <v>4.6274078641377656E-2</v>
      </c>
      <c r="AT13">
        <f t="shared" si="12"/>
        <v>4.7173357870327247E-2</v>
      </c>
      <c r="AU13">
        <f t="shared" si="12"/>
        <v>4.8024957122001409E-2</v>
      </c>
      <c r="AV13">
        <f t="shared" si="12"/>
        <v>4.8831979973266264E-2</v>
      </c>
      <c r="AW13">
        <f t="shared" si="12"/>
        <v>4.9597306510690525E-2</v>
      </c>
      <c r="AX13">
        <f t="shared" si="12"/>
        <v>5.0323610120996988E-2</v>
      </c>
      <c r="AY13">
        <f t="shared" si="12"/>
        <v>5.1013373034729255E-2</v>
      </c>
      <c r="AZ13">
        <f t="shared" si="12"/>
        <v>5.1668900706406728E-2</v>
      </c>
      <c r="BA13">
        <f t="shared" si="12"/>
        <v>5.2292335110964684E-2</v>
      </c>
      <c r="BB13">
        <f t="shared" si="12"/>
        <v>5.2885667032449027E-2</v>
      </c>
      <c r="BC13">
        <f t="shared" si="12"/>
        <v>5.3450747416994432E-2</v>
      </c>
      <c r="BD13">
        <f t="shared" si="12"/>
        <v>5.3989297858030715E-2</v>
      </c>
      <c r="BE13">
        <f t="shared" si="12"/>
        <v>5.4502920277620368E-2</v>
      </c>
      <c r="BF13">
        <f t="shared" si="12"/>
        <v>5.4993105863824387E-2</v>
      </c>
      <c r="BG13">
        <f t="shared" si="12"/>
        <v>5.5461243320089205E-2</v>
      </c>
      <c r="BH13">
        <f t="shared" si="12"/>
        <v>5.5908626478898382E-2</v>
      </c>
      <c r="BI13">
        <f t="shared" si="12"/>
        <v>5.633646132829568E-2</v>
      </c>
      <c r="BJ13">
        <f t="shared" si="12"/>
        <v>5.6745872496478597E-2</v>
      </c>
      <c r="BK13">
        <f t="shared" si="12"/>
        <v>5.7137909236383226E-2</v>
      </c>
      <c r="BL13">
        <f t="shared" si="12"/>
        <v>5.7513550949108441E-2</v>
      </c>
      <c r="BM13">
        <f t="shared" si="12"/>
        <v>5.7873712282145974E-2</v>
      </c>
      <c r="BN13">
        <f t="shared" si="12"/>
        <v>5.821924783566363E-2</v>
      </c>
      <c r="BO13">
        <f t="shared" si="12"/>
        <v>5.8550956507575247E-2</v>
      </c>
      <c r="BP13">
        <f t="shared" si="12"/>
        <v>5.8869585505739418E-2</v>
      </c>
      <c r="BQ13">
        <f t="shared" si="12"/>
        <v>5.9175834053474249E-2</v>
      </c>
      <c r="BR13">
        <f t="shared" si="12"/>
        <v>5.9470356812507126E-2</v>
      </c>
      <c r="BS13">
        <f t="shared" si="12"/>
        <v>5.975376704558881E-2</v>
      </c>
      <c r="BT13">
        <f t="shared" si="12"/>
        <v>6.002663953927545E-2</v>
      </c>
      <c r="BU13">
        <f t="shared" si="12"/>
        <v>6.0289513305728015E-2</v>
      </c>
      <c r="BV13">
        <f t="shared" si="12"/>
        <v>6.0542894080910174E-2</v>
      </c>
      <c r="BW13">
        <f t="shared" si="12"/>
        <v>6.0787256635167097E-2</v>
      </c>
      <c r="BX13">
        <f t="shared" si="12"/>
        <v>6.1023046910904689E-2</v>
      </c>
      <c r="BY13">
        <f t="shared" si="12"/>
        <v>6.1250684000903638E-2</v>
      </c>
      <c r="BZ13">
        <f t="shared" si="12"/>
        <v>6.1470561979728278E-2</v>
      </c>
      <c r="CA13">
        <f t="shared" si="12"/>
        <v>6.1683051599695178E-2</v>
      </c>
      <c r="CB13">
        <f t="shared" si="12"/>
        <v>6.188850186193439E-2</v>
      </c>
      <c r="CC13">
        <f t="shared" si="12"/>
        <v>6.2087241472256541E-2</v>
      </c>
      <c r="CD13">
        <f t="shared" si="12"/>
        <v>6.2279580190741708E-2</v>
      </c>
      <c r="CE13"/>
      <c r="CF13"/>
    </row>
    <row r="14" spans="1:84" x14ac:dyDescent="0.35">
      <c r="A14" s="19">
        <v>0.25</v>
      </c>
      <c r="B14" s="21">
        <f t="shared" ref="B14:B27" si="13">2*Shift+2*(C14*A14-C13*A13)/(A14-A13)-B13</f>
        <v>-0.11719491918747038</v>
      </c>
      <c r="C14" s="20">
        <v>1.5055836112201557E-3</v>
      </c>
      <c r="D14" s="19"/>
      <c r="E14" s="19">
        <v>30</v>
      </c>
      <c r="F14" s="19">
        <f>VLOOKUP(E14,'Tsy Recalibration'!$X$45:$AC$106,6)</f>
        <v>4.5104620583856295E-2</v>
      </c>
      <c r="G14" s="19"/>
      <c r="L14">
        <v>20</v>
      </c>
      <c r="M14" s="49">
        <v>4.5499999999999999E-2</v>
      </c>
      <c r="N14" s="8">
        <f ca="1">OFFSET('Tsy Recalibration'!$V$25,0,2*$L14)</f>
        <v>4.5000590977033475E-2</v>
      </c>
      <c r="O14" s="8">
        <f t="shared" ca="1" si="1"/>
        <v>4.9940902296652379E-4</v>
      </c>
      <c r="P14"/>
      <c r="T14" s="15" t="s">
        <v>25</v>
      </c>
      <c r="U14" s="16">
        <f t="shared" si="12"/>
        <v>0.99161357715831389</v>
      </c>
      <c r="V14" s="16">
        <f t="shared" si="12"/>
        <v>0.97509876926433425</v>
      </c>
      <c r="W14" s="16">
        <f t="shared" si="12"/>
        <v>0.95095958446905782</v>
      </c>
      <c r="X14" s="16">
        <f t="shared" si="12"/>
        <v>0.90488136014839315</v>
      </c>
      <c r="Y14" s="16">
        <f t="shared" si="12"/>
        <v>0.86159619238012308</v>
      </c>
      <c r="Z14" s="16">
        <f t="shared" si="12"/>
        <v>0.82094019461277679</v>
      </c>
      <c r="AA14" s="16">
        <f t="shared" si="12"/>
        <v>0.78275551088151896</v>
      </c>
      <c r="AB14" s="16">
        <f t="shared" si="12"/>
        <v>0.74689086592250897</v>
      </c>
      <c r="AC14" s="16">
        <f t="shared" si="12"/>
        <v>0.713201922005818</v>
      </c>
      <c r="AD14" s="16">
        <f t="shared" si="12"/>
        <v>0.68155147697632157</v>
      </c>
      <c r="AE14" s="16">
        <f t="shared" si="12"/>
        <v>0.65180953355740645</v>
      </c>
      <c r="AF14" s="16">
        <f t="shared" si="12"/>
        <v>0.62385326581545875</v>
      </c>
      <c r="AG14" s="16">
        <f t="shared" si="12"/>
        <v>0.59756690487276998</v>
      </c>
      <c r="AH14" s="16">
        <f t="shared" si="12"/>
        <v>0.57284156252552731</v>
      </c>
      <c r="AI14" s="16">
        <f t="shared" si="12"/>
        <v>0.54957500837922513</v>
      </c>
      <c r="AJ14" s="16">
        <f t="shared" si="12"/>
        <v>0.52767141344588342</v>
      </c>
      <c r="AK14" s="16">
        <f t="shared" si="12"/>
        <v>0.50704107083427752</v>
      </c>
      <c r="AL14" s="16">
        <f t="shared" si="12"/>
        <v>0.48760010217776156</v>
      </c>
      <c r="AM14" s="16">
        <f t="shared" si="12"/>
        <v>0.46927015675263772</v>
      </c>
      <c r="AN14" s="16">
        <f t="shared" si="12"/>
        <v>0.45197810881095535</v>
      </c>
      <c r="AO14" s="16">
        <f t="shared" si="12"/>
        <v>0.43565575745336554</v>
      </c>
      <c r="AP14" s="16">
        <f t="shared" si="12"/>
        <v>0.42023953237019107</v>
      </c>
      <c r="AQ14" s="16">
        <f t="shared" si="12"/>
        <v>0.40567020795451902</v>
      </c>
      <c r="AR14" s="16">
        <f t="shared" si="12"/>
        <v>0.39189262761483917</v>
      </c>
      <c r="AS14" s="16">
        <f t="shared" si="12"/>
        <v>0.37885543956421869</v>
      </c>
      <c r="AT14" s="16">
        <f t="shared" si="12"/>
        <v>0.36651084491856961</v>
      </c>
      <c r="AU14" s="16">
        <f t="shared" si="12"/>
        <v>0.35481435858111388</v>
      </c>
      <c r="AV14" s="16">
        <f t="shared" si="12"/>
        <v>0.34372458310888737</v>
      </c>
      <c r="AW14" s="16">
        <f t="shared" si="12"/>
        <v>0.33320299553736432</v>
      </c>
      <c r="AX14" s="16">
        <f t="shared" si="12"/>
        <v>0.3232137469702327</v>
      </c>
      <c r="AY14" s="16">
        <f t="shared" si="12"/>
        <v>0.31372347461385164</v>
      </c>
      <c r="AZ14" s="16">
        <f t="shared" si="12"/>
        <v>0.3047011258422786</v>
      </c>
      <c r="BA14" s="16">
        <f t="shared" si="12"/>
        <v>0.29611779381249953</v>
      </c>
      <c r="BB14" s="16">
        <f t="shared" si="12"/>
        <v>0.2879465641052556</v>
      </c>
      <c r="BC14" s="16">
        <f t="shared" si="12"/>
        <v>0.28016237184015402</v>
      </c>
      <c r="BD14" s="16">
        <f t="shared" si="12"/>
        <v>0.27274186870087952</v>
      </c>
      <c r="BE14" s="16">
        <f t="shared" si="12"/>
        <v>0.26566329930425814</v>
      </c>
      <c r="BF14" s="16">
        <f t="shared" si="12"/>
        <v>0.25890638635315388</v>
      </c>
      <c r="BG14" s="16">
        <f t="shared" si="12"/>
        <v>0.25245222402569018</v>
      </c>
      <c r="BH14" s="16">
        <f t="shared" si="12"/>
        <v>0.24628317907041775</v>
      </c>
      <c r="BI14" s="16">
        <f t="shared" si="12"/>
        <v>0.24038279909748603</v>
      </c>
      <c r="BJ14" s="16">
        <f t="shared" si="12"/>
        <v>0.23473572757853717</v>
      </c>
      <c r="BK14" s="16">
        <f t="shared" si="12"/>
        <v>0.22932762509210042</v>
      </c>
      <c r="BL14" s="16">
        <f t="shared" si="12"/>
        <v>0.22414509637604305</v>
      </c>
      <c r="BM14" s="16">
        <f t="shared" si="12"/>
        <v>0.21917562277361588</v>
      </c>
      <c r="BN14" s="16">
        <f t="shared" si="12"/>
        <v>0.21440749968442152</v>
      </c>
      <c r="BO14" s="16">
        <f t="shared" si="12"/>
        <v>0.20982977865592306</v>
      </c>
      <c r="BP14" s="16">
        <f t="shared" si="12"/>
        <v>0.20543221377468185</v>
      </c>
      <c r="BQ14" s="16">
        <f t="shared" si="12"/>
        <v>0.20120521203920327</v>
      </c>
      <c r="BR14" s="16">
        <f t="shared" si="12"/>
        <v>0.19713978741796692</v>
      </c>
      <c r="BS14" s="16">
        <f t="shared" si="12"/>
        <v>0.19322751831686014</v>
      </c>
      <c r="BT14" s="16">
        <f t="shared" si="12"/>
        <v>0.18946050819977311</v>
      </c>
      <c r="BU14" s="16">
        <f t="shared" si="12"/>
        <v>0.18583134912454785</v>
      </c>
      <c r="BV14" s="16">
        <f t="shared" si="12"/>
        <v>0.18233308797379738</v>
      </c>
      <c r="BW14" s="16">
        <f t="shared" si="12"/>
        <v>0.17895919517635525</v>
      </c>
      <c r="BX14" s="16">
        <f t="shared" si="12"/>
        <v>0.1757035357303012</v>
      </c>
      <c r="BY14" s="16">
        <f t="shared" si="12"/>
        <v>0.1725603423526807</v>
      </c>
      <c r="BZ14" s="16">
        <f t="shared" si="12"/>
        <v>0.16952419059423657</v>
      </c>
      <c r="CA14" s="16">
        <f t="shared" si="12"/>
        <v>0.16658997576974299</v>
      </c>
      <c r="CB14" s="16">
        <f t="shared" si="12"/>
        <v>0.16375289156593259</v>
      </c>
      <c r="CC14" s="16">
        <f t="shared" si="12"/>
        <v>0.16100841019957654</v>
      </c>
      <c r="CD14" s="16">
        <f t="shared" si="12"/>
        <v>0.15835226400807365</v>
      </c>
      <c r="CE14" s="16"/>
      <c r="CF14" s="16"/>
    </row>
    <row r="15" spans="1:84" x14ac:dyDescent="0.35">
      <c r="A15" s="19">
        <v>0.5</v>
      </c>
      <c r="B15" s="21">
        <f t="shared" si="13"/>
        <v>-0.12906415707276458</v>
      </c>
      <c r="C15" s="20">
        <v>2.9960930911088271E-3</v>
      </c>
      <c r="D15" s="19"/>
      <c r="E15" s="19"/>
      <c r="F15" s="19"/>
      <c r="G15" s="19"/>
      <c r="L15">
        <v>30</v>
      </c>
      <c r="M15" s="49">
        <v>4.5100000000000001E-2</v>
      </c>
      <c r="N15" s="8">
        <f ca="1">OFFSET('Tsy Recalibration'!$V$25,0,2*$L15)</f>
        <v>4.4842993463738989E-2</v>
      </c>
      <c r="O15" s="8">
        <f t="shared" ca="1" si="1"/>
        <v>2.5700653626101189E-4</v>
      </c>
      <c r="P15"/>
      <c r="T15" s="9" t="s">
        <v>19</v>
      </c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</row>
    <row r="16" spans="1:84" x14ac:dyDescent="0.35">
      <c r="A16" s="19">
        <v>1</v>
      </c>
      <c r="B16" s="21">
        <f t="shared" si="13"/>
        <v>-0.12396631939180391</v>
      </c>
      <c r="C16" s="20">
        <v>2.0484977799697865E-3</v>
      </c>
      <c r="D16" s="19"/>
      <c r="E16" s="19"/>
      <c r="F16" s="19"/>
      <c r="G16" s="19"/>
      <c r="L16"/>
      <c r="M16" s="50" t="s">
        <v>64</v>
      </c>
      <c r="N16" s="7"/>
      <c r="O16" s="7"/>
      <c r="P16"/>
      <c r="T16" s="12" t="s">
        <v>20</v>
      </c>
      <c r="U16">
        <f t="shared" ref="U16:AZ16" si="14">(2*CIR3_Theta/CIR3_Sigma^2)*LN(2*CIR3_Gamma*EXP(CIR3_Gam_Kap*U$3/2)/(CIR3_Gam_Kap*(EXP(CIR3_Gamma*U$3)-1)+2*CIR3_Gamma))</f>
        <v>-4.3992974884385934E-6</v>
      </c>
      <c r="V16">
        <f t="shared" si="14"/>
        <v>-3.9593208765004644E-5</v>
      </c>
      <c r="W16">
        <f t="shared" si="14"/>
        <v>-1.5836678945318469E-4</v>
      </c>
      <c r="X16">
        <f t="shared" si="14"/>
        <v>-6.3337225113373479E-4</v>
      </c>
      <c r="Y16">
        <f t="shared" si="14"/>
        <v>-1.4247345797308375E-3</v>
      </c>
      <c r="Z16">
        <f t="shared" si="14"/>
        <v>-2.5319866304719832E-3</v>
      </c>
      <c r="AA16">
        <f t="shared" si="14"/>
        <v>-3.9544770142741839E-3</v>
      </c>
      <c r="AB16">
        <f t="shared" si="14"/>
        <v>-5.6913716207651656E-3</v>
      </c>
      <c r="AC16">
        <f t="shared" si="14"/>
        <v>-7.7416555616377416E-3</v>
      </c>
      <c r="AD16">
        <f t="shared" si="14"/>
        <v>-1.0104135524754651E-2</v>
      </c>
      <c r="AE16">
        <f t="shared" si="14"/>
        <v>-1.2777442527455704E-2</v>
      </c>
      <c r="AF16">
        <f t="shared" si="14"/>
        <v>-1.5760035055675446E-2</v>
      </c>
      <c r="AG16">
        <f t="shared" si="14"/>
        <v>-1.9050202573719675E-2</v>
      </c>
      <c r="AH16">
        <f t="shared" si="14"/>
        <v>-2.2646069387931487E-2</v>
      </c>
      <c r="AI16">
        <f t="shared" si="14"/>
        <v>-2.6545598845982413E-2</v>
      </c>
      <c r="AJ16">
        <f t="shared" si="14"/>
        <v>-3.0746597852190992E-2</v>
      </c>
      <c r="AK16">
        <f t="shared" si="14"/>
        <v>-3.5246721678070032E-2</v>
      </c>
      <c r="AL16">
        <f t="shared" si="14"/>
        <v>-4.0043479046288175E-2</v>
      </c>
      <c r="AM16">
        <f t="shared" si="14"/>
        <v>-4.5134237465352396E-2</v>
      </c>
      <c r="AN16">
        <f t="shared" si="14"/>
        <v>-5.0516228791639792E-2</v>
      </c>
      <c r="AO16">
        <f t="shared" si="14"/>
        <v>-5.6186554994860062E-2</v>
      </c>
      <c r="AP16">
        <f t="shared" si="14"/>
        <v>-6.2142194102684518E-2</v>
      </c>
      <c r="AQ16">
        <f t="shared" si="14"/>
        <v>-6.8380006300069449E-2</v>
      </c>
      <c r="AR16">
        <f t="shared" si="14"/>
        <v>-7.4896740158783129E-2</v>
      </c>
      <c r="AS16">
        <f t="shared" si="14"/>
        <v>-8.1689038972744418E-2</v>
      </c>
      <c r="AT16">
        <f t="shared" si="14"/>
        <v>-8.8753447175072567E-2</v>
      </c>
      <c r="AU16">
        <f t="shared" si="14"/>
        <v>-9.6086416813140146E-2</v>
      </c>
      <c r="AV16">
        <f t="shared" si="14"/>
        <v>-0.10368431405847002</v>
      </c>
      <c r="AW16">
        <f t="shared" si="14"/>
        <v>-0.11154342572897814</v>
      </c>
      <c r="AX16">
        <f t="shared" si="14"/>
        <v>-0.11965996580183133</v>
      </c>
      <c r="AY16">
        <f t="shared" si="14"/>
        <v>-0.12803008189606668</v>
      </c>
      <c r="AZ16">
        <f t="shared" si="14"/>
        <v>-0.13664986170507593</v>
      </c>
      <c r="BA16">
        <f t="shared" ref="BA16:CD16" si="15">(2*CIR3_Theta/CIR3_Sigma^2)*LN(2*CIR3_Gamma*EXP(CIR3_Gam_Kap*BA$3/2)/(CIR3_Gam_Kap*(EXP(CIR3_Gamma*BA$3)-1)+2*CIR3_Gamma))</f>
        <v>-0.14551533936008651</v>
      </c>
      <c r="BB16">
        <f t="shared" si="15"/>
        <v>-0.15462250170688746</v>
      </c>
      <c r="BC16">
        <f t="shared" si="15"/>
        <v>-0.16396729447917133</v>
      </c>
      <c r="BD16">
        <f t="shared" si="15"/>
        <v>-0.17354562835308612</v>
      </c>
      <c r="BE16">
        <f t="shared" si="15"/>
        <v>-0.1833533848687896</v>
      </c>
      <c r="BF16">
        <f t="shared" si="15"/>
        <v>-0.19338642220604213</v>
      </c>
      <c r="BG16">
        <f t="shared" si="15"/>
        <v>-0.20364058080213496</v>
      </c>
      <c r="BH16">
        <f t="shared" si="15"/>
        <v>-0.21411168880167486</v>
      </c>
      <c r="BI16">
        <f t="shared" si="15"/>
        <v>-0.22479556732900749</v>
      </c>
      <c r="BJ16">
        <f t="shared" si="15"/>
        <v>-0.23568803557525347</v>
      </c>
      <c r="BK16">
        <f t="shared" si="15"/>
        <v>-0.24678491569314456</v>
      </c>
      <c r="BL16">
        <f t="shared" si="15"/>
        <v>-0.25808203749398878</v>
      </c>
      <c r="BM16">
        <f t="shared" si="15"/>
        <v>-0.26957524294222474</v>
      </c>
      <c r="BN16">
        <f t="shared" si="15"/>
        <v>-0.28126039044409107</v>
      </c>
      <c r="BO16">
        <f t="shared" si="15"/>
        <v>-0.29313335892796705</v>
      </c>
      <c r="BP16">
        <f t="shared" si="15"/>
        <v>-0.30519005171492453</v>
      </c>
      <c r="BQ16">
        <f t="shared" si="15"/>
        <v>-0.31742640017892421</v>
      </c>
      <c r="BR16">
        <f t="shared" si="15"/>
        <v>-0.32983836719698612</v>
      </c>
      <c r="BS16">
        <f t="shared" si="15"/>
        <v>-0.34242195039044138</v>
      </c>
      <c r="BT16">
        <f t="shared" si="15"/>
        <v>-0.35517318515912211</v>
      </c>
      <c r="BU16">
        <f t="shared" si="15"/>
        <v>-0.36808814751104013</v>
      </c>
      <c r="BV16">
        <f t="shared" si="15"/>
        <v>-0.38116295669071409</v>
      </c>
      <c r="BW16">
        <f t="shared" si="15"/>
        <v>-0.39439377760987482</v>
      </c>
      <c r="BX16">
        <f t="shared" si="15"/>
        <v>-0.40777682308479141</v>
      </c>
      <c r="BY16">
        <f t="shared" si="15"/>
        <v>-0.42130835588489346</v>
      </c>
      <c r="BZ16">
        <f t="shared" si="15"/>
        <v>-0.43498469059777534</v>
      </c>
      <c r="CA16">
        <f t="shared" si="15"/>
        <v>-0.44880219531599652</v>
      </c>
      <c r="CB16">
        <f t="shared" si="15"/>
        <v>-0.46275729315138858</v>
      </c>
      <c r="CC16">
        <f t="shared" si="15"/>
        <v>-0.47684646358281912</v>
      </c>
      <c r="CD16">
        <f t="shared" si="15"/>
        <v>-0.49106624364355245</v>
      </c>
      <c r="CE16"/>
      <c r="CF16"/>
    </row>
    <row r="17" spans="1:84" x14ac:dyDescent="0.35">
      <c r="A17" s="19">
        <v>1.5</v>
      </c>
      <c r="B17" s="21">
        <f t="shared" si="13"/>
        <v>-0.13049172392887909</v>
      </c>
      <c r="C17" s="20">
        <v>1.4947048669043533E-3</v>
      </c>
      <c r="D17" s="19"/>
      <c r="E17" s="19"/>
      <c r="F17" s="19"/>
      <c r="G17" s="19"/>
      <c r="L17"/>
      <c r="M17" s="7"/>
      <c r="N17" s="7"/>
      <c r="O17" s="7"/>
      <c r="P17"/>
      <c r="T17" s="12" t="s">
        <v>21</v>
      </c>
      <c r="U17">
        <f t="shared" ref="U17:AZ17" si="16">(-2*(EXP(CIR3_Gamma*U$3)-1))/(CIR3_Gam_Kap*(EXP(CIR3_Gamma*U$3)-1)+2*CIR3_Gamma)</f>
        <v>-8.3333047393257406E-2</v>
      </c>
      <c r="V17">
        <f t="shared" si="16"/>
        <v>-0.24999334229545775</v>
      </c>
      <c r="W17">
        <f t="shared" si="16"/>
        <v>-0.49994886789540433</v>
      </c>
      <c r="X17">
        <f t="shared" si="16"/>
        <v>-0.99959958478252209</v>
      </c>
      <c r="Y17">
        <f t="shared" si="16"/>
        <v>-1.498658949496894</v>
      </c>
      <c r="Z17">
        <f t="shared" si="16"/>
        <v>-1.9968351487412583</v>
      </c>
      <c r="AA17">
        <f t="shared" si="16"/>
        <v>-2.493838437363292</v>
      </c>
      <c r="AB17">
        <f t="shared" si="16"/>
        <v>-2.9893818083632677</v>
      </c>
      <c r="AC17">
        <f t="shared" si="16"/>
        <v>-3.4831816493616365</v>
      </c>
      <c r="AD17">
        <f t="shared" si="16"/>
        <v>-3.974958382370902</v>
      </c>
      <c r="AE17">
        <f t="shared" si="16"/>
        <v>-4.4644370838564678</v>
      </c>
      <c r="AF17">
        <f t="shared" si="16"/>
        <v>-4.9513480822352625</v>
      </c>
      <c r="AG17">
        <f t="shared" si="16"/>
        <v>-5.4354275301469555</v>
      </c>
      <c r="AH17">
        <f t="shared" si="16"/>
        <v>-5.916417949038137</v>
      </c>
      <c r="AI17">
        <f t="shared" si="16"/>
        <v>-6.3940687438223813</v>
      </c>
      <c r="AJ17">
        <f t="shared" si="16"/>
        <v>-6.8681366856159416</v>
      </c>
      <c r="AK17">
        <f t="shared" si="16"/>
        <v>-7.3383863607972684</v>
      </c>
      <c r="AL17">
        <f t="shared" si="16"/>
        <v>-7.8045905848954504</v>
      </c>
      <c r="AM17">
        <f t="shared" si="16"/>
        <v>-8.2665307800755201</v>
      </c>
      <c r="AN17">
        <f t="shared" si="16"/>
        <v>-8.7239973152540067</v>
      </c>
      <c r="AO17">
        <f t="shared" si="16"/>
        <v>-9.1767898081438553</v>
      </c>
      <c r="AP17">
        <f t="shared" si="16"/>
        <v>-9.6247173887905841</v>
      </c>
      <c r="AQ17">
        <f t="shared" si="16"/>
        <v>-10.067598924419295</v>
      </c>
      <c r="AR17">
        <f t="shared" si="16"/>
        <v>-10.505263205661926</v>
      </c>
      <c r="AS17">
        <f t="shared" si="16"/>
        <v>-10.937549094474363</v>
      </c>
      <c r="AT17">
        <f t="shared" si="16"/>
        <v>-11.364305634280903</v>
      </c>
      <c r="AU17">
        <f t="shared" si="16"/>
        <v>-11.785392123098282</v>
      </c>
      <c r="AV17">
        <f t="shared" si="16"/>
        <v>-12.200678150590706</v>
      </c>
      <c r="AW17">
        <f t="shared" si="16"/>
        <v>-12.610043600190339</v>
      </c>
      <c r="AX17">
        <f t="shared" si="16"/>
        <v>-13.013378617583342</v>
      </c>
      <c r="AY17">
        <f t="shared" si="16"/>
        <v>-13.410583547009141</v>
      </c>
      <c r="AZ17">
        <f t="shared" si="16"/>
        <v>-13.801568836949645</v>
      </c>
      <c r="BA17">
        <f t="shared" ref="BA17:CD17" si="17">(-2*(EXP(CIR3_Gamma*BA$3)-1))/(CIR3_Gam_Kap*(EXP(CIR3_Gamma*BA$3)-1)+2*CIR3_Gamma)</f>
        <v>-14.186254916895507</v>
      </c>
      <c r="BB17">
        <f t="shared" si="17"/>
        <v>-14.564572046968053</v>
      </c>
      <c r="BC17">
        <f t="shared" si="17"/>
        <v>-14.936460142248864</v>
      </c>
      <c r="BD17">
        <f t="shared" si="17"/>
        <v>-15.301868573723828</v>
      </c>
      <c r="BE17">
        <f t="shared" si="17"/>
        <v>-15.660755947786434</v>
      </c>
      <c r="BF17">
        <f t="shared" si="17"/>
        <v>-16.013089866265968</v>
      </c>
      <c r="BG17">
        <f t="shared" si="17"/>
        <v>-16.358846668951536</v>
      </c>
      <c r="BH17">
        <f t="shared" si="17"/>
        <v>-16.698011160573444</v>
      </c>
      <c r="BI17">
        <f t="shared" si="17"/>
        <v>-17.030576324180203</v>
      </c>
      <c r="BJ17">
        <f t="shared" si="17"/>
        <v>-17.356543022813899</v>
      </c>
      <c r="BK17">
        <f t="shared" si="17"/>
        <v>-17.675919691339718</v>
      </c>
      <c r="BL17">
        <f t="shared" si="17"/>
        <v>-17.988722020228458</v>
      </c>
      <c r="BM17">
        <f t="shared" si="17"/>
        <v>-18.294972633025164</v>
      </c>
      <c r="BN17">
        <f t="shared" si="17"/>
        <v>-18.594700759163679</v>
      </c>
      <c r="BO17">
        <f t="shared" si="17"/>
        <v>-18.887941903707311</v>
      </c>
      <c r="BP17">
        <f t="shared" si="17"/>
        <v>-19.174737515511001</v>
      </c>
      <c r="BQ17">
        <f t="shared" si="17"/>
        <v>-19.455134655211541</v>
      </c>
      <c r="BR17">
        <f t="shared" si="17"/>
        <v>-19.729185664360553</v>
      </c>
      <c r="BS17">
        <f t="shared" si="17"/>
        <v>-19.996947836921294</v>
      </c>
      <c r="BT17">
        <f t="shared" si="17"/>
        <v>-20.258483094255443</v>
      </c>
      <c r="BU17">
        <f t="shared" si="17"/>
        <v>-20.513857664631217</v>
      </c>
      <c r="BV17">
        <f t="shared" si="17"/>
        <v>-20.763141768189755</v>
      </c>
      <c r="BW17">
        <f t="shared" si="17"/>
        <v>-21.006409308213794</v>
      </c>
      <c r="BX17">
        <f t="shared" si="17"/>
        <v>-21.243737569451675</v>
      </c>
      <c r="BY17">
        <f t="shared" si="17"/>
        <v>-21.475206924161057</v>
      </c>
      <c r="BZ17">
        <f t="shared" si="17"/>
        <v>-21.700900546451351</v>
      </c>
      <c r="CA17">
        <f t="shared" si="17"/>
        <v>-21.920904135421541</v>
      </c>
      <c r="CB17">
        <f t="shared" si="17"/>
        <v>-22.135305647511707</v>
      </c>
      <c r="CC17">
        <f t="shared" si="17"/>
        <v>-22.344195038411858</v>
      </c>
      <c r="CD17">
        <f t="shared" si="17"/>
        <v>-22.547664014801562</v>
      </c>
      <c r="CE17"/>
      <c r="CF17"/>
    </row>
    <row r="18" spans="1:84" x14ac:dyDescent="0.35">
      <c r="A18" s="19">
        <v>2</v>
      </c>
      <c r="B18" s="21">
        <f t="shared" si="13"/>
        <v>-0.12773141625228535</v>
      </c>
      <c r="C18" s="20">
        <v>7.4717130281145433E-4</v>
      </c>
      <c r="D18" s="19"/>
      <c r="E18" s="19"/>
      <c r="F18" s="19"/>
      <c r="G18" s="19"/>
      <c r="T18" s="12" t="s">
        <v>24</v>
      </c>
      <c r="U18">
        <f t="shared" ref="U18:CD19" si="18">U16*-1/U$3</f>
        <v>5.2791569861263121E-5</v>
      </c>
      <c r="V18">
        <f t="shared" si="18"/>
        <v>1.5837283506001858E-4</v>
      </c>
      <c r="W18">
        <f t="shared" si="18"/>
        <v>3.1673357890636938E-4</v>
      </c>
      <c r="X18">
        <f t="shared" si="18"/>
        <v>6.3337225113373479E-4</v>
      </c>
      <c r="Y18">
        <f t="shared" si="18"/>
        <v>9.4982305315389169E-4</v>
      </c>
      <c r="Z18">
        <f t="shared" si="18"/>
        <v>1.2659933152359916E-3</v>
      </c>
      <c r="AA18">
        <f t="shared" si="18"/>
        <v>1.5817908057096735E-3</v>
      </c>
      <c r="AB18">
        <f t="shared" si="18"/>
        <v>1.8971238735883886E-3</v>
      </c>
      <c r="AC18">
        <f t="shared" si="18"/>
        <v>2.2119015890393547E-3</v>
      </c>
      <c r="AD18">
        <f t="shared" si="18"/>
        <v>2.5260338811886628E-3</v>
      </c>
      <c r="AE18">
        <f t="shared" si="18"/>
        <v>2.8394316727679341E-3</v>
      </c>
      <c r="AF18">
        <f t="shared" si="18"/>
        <v>3.152007011135089E-3</v>
      </c>
      <c r="AG18">
        <f t="shared" si="18"/>
        <v>3.4636731952217589E-3</v>
      </c>
      <c r="AH18">
        <f t="shared" si="18"/>
        <v>3.7743448979885813E-3</v>
      </c>
      <c r="AI18">
        <f t="shared" si="18"/>
        <v>4.0839382839972941E-3</v>
      </c>
      <c r="AJ18">
        <f t="shared" si="18"/>
        <v>4.3923711217415699E-3</v>
      </c>
      <c r="AK18">
        <f t="shared" si="18"/>
        <v>4.6995628904093374E-3</v>
      </c>
      <c r="AL18">
        <f t="shared" si="18"/>
        <v>5.0054348807860218E-3</v>
      </c>
      <c r="AM18">
        <f t="shared" si="18"/>
        <v>5.309910290041458E-3</v>
      </c>
      <c r="AN18">
        <f t="shared" si="18"/>
        <v>5.6129143101821995E-3</v>
      </c>
      <c r="AO18">
        <f t="shared" si="18"/>
        <v>5.9143742099852696E-3</v>
      </c>
      <c r="AP18">
        <f t="shared" si="18"/>
        <v>6.214219410268452E-3</v>
      </c>
      <c r="AQ18">
        <f t="shared" si="18"/>
        <v>6.5123815523875665E-3</v>
      </c>
      <c r="AR18">
        <f t="shared" si="18"/>
        <v>6.8087945598893753E-3</v>
      </c>
      <c r="AS18">
        <f t="shared" si="18"/>
        <v>7.1033946932821234E-3</v>
      </c>
      <c r="AT18">
        <f t="shared" si="18"/>
        <v>7.3961205979227139E-3</v>
      </c>
      <c r="AU18">
        <f t="shared" si="18"/>
        <v>7.6869133450512116E-3</v>
      </c>
      <c r="AV18">
        <f t="shared" si="18"/>
        <v>7.9757164660361549E-3</v>
      </c>
      <c r="AW18">
        <f t="shared" si="18"/>
        <v>8.2624759799243067E-3</v>
      </c>
      <c r="AX18">
        <f t="shared" si="18"/>
        <v>8.5471404144165236E-3</v>
      </c>
      <c r="AY18">
        <f t="shared" si="18"/>
        <v>8.8296608204183925E-3</v>
      </c>
      <c r="AZ18">
        <f t="shared" si="18"/>
        <v>9.1099907803383947E-3</v>
      </c>
      <c r="BA18">
        <f t="shared" si="18"/>
        <v>9.3880864103281624E-3</v>
      </c>
      <c r="BB18">
        <f t="shared" si="18"/>
        <v>9.6639063566804663E-3</v>
      </c>
      <c r="BC18">
        <f t="shared" si="18"/>
        <v>9.937411786616444E-3</v>
      </c>
      <c r="BD18">
        <f t="shared" si="18"/>
        <v>1.0208566373710948E-2</v>
      </c>
      <c r="BE18">
        <f t="shared" si="18"/>
        <v>1.0477336278216549E-2</v>
      </c>
      <c r="BF18">
        <f t="shared" si="18"/>
        <v>1.0743690122557896E-2</v>
      </c>
      <c r="BG18">
        <f t="shared" si="18"/>
        <v>1.1007598962277565E-2</v>
      </c>
      <c r="BH18">
        <f t="shared" si="18"/>
        <v>1.126903625271973E-2</v>
      </c>
      <c r="BI18">
        <f t="shared" si="18"/>
        <v>1.1527977811743974E-2</v>
      </c>
      <c r="BJ18">
        <f t="shared" si="18"/>
        <v>1.1784401778762674E-2</v>
      </c>
      <c r="BK18">
        <f t="shared" si="18"/>
        <v>1.2038288570397297E-2</v>
      </c>
      <c r="BL18">
        <f t="shared" si="18"/>
        <v>1.2289620833047086E-2</v>
      </c>
      <c r="BM18">
        <f t="shared" si="18"/>
        <v>1.2538383392661615E-2</v>
      </c>
      <c r="BN18">
        <f t="shared" si="18"/>
        <v>1.278456320200414E-2</v>
      </c>
      <c r="BO18">
        <f t="shared" si="18"/>
        <v>1.3028149285687424E-2</v>
      </c>
      <c r="BP18">
        <f t="shared" si="18"/>
        <v>1.3269132683257589E-2</v>
      </c>
      <c r="BQ18">
        <f t="shared" si="18"/>
        <v>1.3507506390592519E-2</v>
      </c>
      <c r="BR18">
        <f t="shared" si="18"/>
        <v>1.3743265299874421E-2</v>
      </c>
      <c r="BS18">
        <f t="shared" si="18"/>
        <v>1.3976406138385362E-2</v>
      </c>
      <c r="BT18">
        <f t="shared" si="18"/>
        <v>1.4206927406364884E-2</v>
      </c>
      <c r="BU18">
        <f t="shared" si="18"/>
        <v>1.4434829314158437E-2</v>
      </c>
      <c r="BV18">
        <f t="shared" si="18"/>
        <v>1.4660113718873619E-2</v>
      </c>
      <c r="BW18">
        <f t="shared" si="18"/>
        <v>1.4882784060749993E-2</v>
      </c>
      <c r="BX18">
        <f t="shared" si="18"/>
        <v>1.5102845299436719E-2</v>
      </c>
      <c r="BY18">
        <f t="shared" si="18"/>
        <v>1.5320303850359762E-2</v>
      </c>
      <c r="BZ18">
        <f t="shared" si="18"/>
        <v>1.5535167521349119E-2</v>
      </c>
      <c r="CA18">
        <f t="shared" si="18"/>
        <v>1.5747445449684087E-2</v>
      </c>
      <c r="CB18">
        <f t="shared" si="18"/>
        <v>1.5957148039703054E-2</v>
      </c>
      <c r="CC18">
        <f t="shared" si="18"/>
        <v>1.6164286901112514E-2</v>
      </c>
      <c r="CD18">
        <f t="shared" si="18"/>
        <v>1.6368874788118416E-2</v>
      </c>
      <c r="CE18"/>
      <c r="CF18"/>
    </row>
    <row r="19" spans="1:84" x14ac:dyDescent="0.35">
      <c r="A19" s="19">
        <v>2.5</v>
      </c>
      <c r="B19" s="21">
        <f t="shared" si="13"/>
        <v>-0.12949491940017438</v>
      </c>
      <c r="C19" s="20">
        <v>3.9833161722618859E-4</v>
      </c>
      <c r="D19" s="19"/>
      <c r="E19" s="19"/>
      <c r="F19" s="19"/>
      <c r="G19" s="19"/>
      <c r="T19" s="15" t="s">
        <v>25</v>
      </c>
      <c r="U19" s="16">
        <f t="shared" si="18"/>
        <v>0.99999656871908893</v>
      </c>
      <c r="V19" s="16">
        <f t="shared" si="18"/>
        <v>0.999973369181831</v>
      </c>
      <c r="W19" s="16">
        <f t="shared" si="18"/>
        <v>0.99989773579080865</v>
      </c>
      <c r="X19" s="16">
        <f t="shared" si="18"/>
        <v>0.99959958478252209</v>
      </c>
      <c r="Y19" s="16">
        <f t="shared" si="18"/>
        <v>0.9991059663312627</v>
      </c>
      <c r="Z19" s="16">
        <f t="shared" si="18"/>
        <v>0.99841757437062917</v>
      </c>
      <c r="AA19" s="16">
        <f t="shared" si="18"/>
        <v>0.99753537494531686</v>
      </c>
      <c r="AB19" s="16">
        <f t="shared" si="18"/>
        <v>0.99646060278775594</v>
      </c>
      <c r="AC19" s="16">
        <f t="shared" si="18"/>
        <v>0.99519475696046755</v>
      </c>
      <c r="AD19" s="16">
        <f t="shared" si="18"/>
        <v>0.99373959559272551</v>
      </c>
      <c r="AE19" s="16">
        <f t="shared" si="18"/>
        <v>0.99209712974588171</v>
      </c>
      <c r="AF19" s="16">
        <f t="shared" si="18"/>
        <v>0.99026961644705247</v>
      </c>
      <c r="AG19" s="16">
        <f t="shared" si="18"/>
        <v>0.98825955093581008</v>
      </c>
      <c r="AH19" s="16">
        <f t="shared" si="18"/>
        <v>0.98606965817302283</v>
      </c>
      <c r="AI19" s="16">
        <f t="shared" si="18"/>
        <v>0.98370288366498171</v>
      </c>
      <c r="AJ19" s="16">
        <f t="shared" si="18"/>
        <v>0.98116238365942021</v>
      </c>
      <c r="AK19" s="16">
        <f t="shared" si="18"/>
        <v>0.9784515147729691</v>
      </c>
      <c r="AL19" s="16">
        <f t="shared" si="18"/>
        <v>0.9755738231119313</v>
      </c>
      <c r="AM19" s="16">
        <f t="shared" si="18"/>
        <v>0.97253303295006122</v>
      </c>
      <c r="AN19" s="16">
        <f t="shared" si="18"/>
        <v>0.96933303502822299</v>
      </c>
      <c r="AO19" s="16">
        <f t="shared" si="18"/>
        <v>0.96597787454145845</v>
      </c>
      <c r="AP19" s="16">
        <f t="shared" si="18"/>
        <v>0.96247173887905846</v>
      </c>
      <c r="AQ19" s="16">
        <f t="shared" si="18"/>
        <v>0.95881894518278998</v>
      </c>
      <c r="AR19" s="16">
        <f t="shared" si="18"/>
        <v>0.95502392778744782</v>
      </c>
      <c r="AS19" s="16">
        <f t="shared" si="18"/>
        <v>0.95109122560646642</v>
      </c>
      <c r="AT19" s="16">
        <f t="shared" si="18"/>
        <v>0.9470254695234086</v>
      </c>
      <c r="AU19" s="16">
        <f t="shared" si="18"/>
        <v>0.94283136984786253</v>
      </c>
      <c r="AV19" s="16">
        <f t="shared" si="18"/>
        <v>0.93851370389159272</v>
      </c>
      <c r="AW19" s="16">
        <f t="shared" si="18"/>
        <v>0.93407730371780295</v>
      </c>
      <c r="AX19" s="16">
        <f t="shared" si="18"/>
        <v>0.92952704411309583</v>
      </c>
      <c r="AY19" s="16">
        <f t="shared" si="18"/>
        <v>0.92486783082821666</v>
      </c>
      <c r="AZ19" s="16">
        <f t="shared" si="18"/>
        <v>0.92010458912997639</v>
      </c>
      <c r="BA19" s="16">
        <f t="shared" si="18"/>
        <v>0.91524225270293591</v>
      </c>
      <c r="BB19" s="16">
        <f t="shared" si="18"/>
        <v>0.91028575293550329</v>
      </c>
      <c r="BC19" s="16">
        <f t="shared" si="18"/>
        <v>0.90524000862114329</v>
      </c>
      <c r="BD19" s="16">
        <f t="shared" si="18"/>
        <v>0.90010991610140167</v>
      </c>
      <c r="BE19" s="16">
        <f t="shared" si="18"/>
        <v>0.89490033987351048</v>
      </c>
      <c r="BF19" s="16">
        <f t="shared" si="18"/>
        <v>0.88961610368144273</v>
      </c>
      <c r="BG19" s="16">
        <f t="shared" si="18"/>
        <v>0.88426198210548845</v>
      </c>
      <c r="BH19" s="16">
        <f t="shared" si="18"/>
        <v>0.87884269266176018</v>
      </c>
      <c r="BI19" s="16">
        <f t="shared" si="18"/>
        <v>0.87336288841949761</v>
      </c>
      <c r="BJ19" s="16">
        <f t="shared" si="18"/>
        <v>0.86782715114069497</v>
      </c>
      <c r="BK19" s="16">
        <f t="shared" si="18"/>
        <v>0.86223998494340093</v>
      </c>
      <c r="BL19" s="16">
        <f t="shared" si="18"/>
        <v>0.85660581048706941</v>
      </c>
      <c r="BM19" s="16">
        <f t="shared" si="18"/>
        <v>0.85092895967558901</v>
      </c>
      <c r="BN19" s="16">
        <f t="shared" si="18"/>
        <v>0.84521367087107635</v>
      </c>
      <c r="BO19" s="16">
        <f t="shared" si="18"/>
        <v>0.83946408460921385</v>
      </c>
      <c r="BP19" s="16">
        <f t="shared" si="18"/>
        <v>0.8336842398048262</v>
      </c>
      <c r="BQ19" s="16">
        <f t="shared" si="18"/>
        <v>0.82787807043453365</v>
      </c>
      <c r="BR19" s="16">
        <f t="shared" si="18"/>
        <v>0.82204940268168969</v>
      </c>
      <c r="BS19" s="16">
        <f t="shared" si="18"/>
        <v>0.81620195252739969</v>
      </c>
      <c r="BT19" s="16">
        <f t="shared" si="18"/>
        <v>0.81033932377021767</v>
      </c>
      <c r="BU19" s="16">
        <f t="shared" si="18"/>
        <v>0.80446500645612617</v>
      </c>
      <c r="BV19" s="16">
        <f t="shared" si="18"/>
        <v>0.798582375699606</v>
      </c>
      <c r="BW19" s="16">
        <f t="shared" si="18"/>
        <v>0.7926946908759922</v>
      </c>
      <c r="BX19" s="16">
        <f t="shared" si="18"/>
        <v>0.78680509516487684</v>
      </c>
      <c r="BY19" s="16">
        <f t="shared" si="18"/>
        <v>0.78091661542403845</v>
      </c>
      <c r="BZ19" s="16">
        <f t="shared" si="18"/>
        <v>0.77503216237326256</v>
      </c>
      <c r="CA19" s="16">
        <f t="shared" si="18"/>
        <v>0.76915453106742249</v>
      </c>
      <c r="CB19" s="16">
        <f t="shared" si="18"/>
        <v>0.76328640163833472</v>
      </c>
      <c r="CC19" s="16">
        <f t="shared" si="18"/>
        <v>0.75743034028514777</v>
      </c>
      <c r="CD19" s="16">
        <f t="shared" si="18"/>
        <v>0.75158880049338539</v>
      </c>
      <c r="CE19" s="16"/>
      <c r="CF19" s="16"/>
    </row>
    <row r="20" spans="1:84" x14ac:dyDescent="0.35">
      <c r="A20" s="19">
        <v>3</v>
      </c>
      <c r="B20" s="21">
        <f t="shared" si="13"/>
        <v>-0.12931782179023837</v>
      </c>
      <c r="C20" s="20">
        <v>3.357136533992805E-5</v>
      </c>
      <c r="D20" s="19"/>
      <c r="E20" s="19"/>
      <c r="F20" s="19"/>
      <c r="G20" s="19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</row>
    <row r="21" spans="1:84" x14ac:dyDescent="0.35">
      <c r="A21" s="19">
        <v>3.5</v>
      </c>
      <c r="B21" s="21">
        <f t="shared" si="13"/>
        <v>-0.1294740108940739</v>
      </c>
      <c r="C21" s="20">
        <v>-2.254782070002237E-4</v>
      </c>
      <c r="D21" s="19"/>
      <c r="E21" s="19"/>
      <c r="F21" s="19"/>
      <c r="G21" s="19"/>
      <c r="T21" t="s">
        <v>30</v>
      </c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</row>
    <row r="22" spans="1:84" x14ac:dyDescent="0.35">
      <c r="A22" s="19">
        <v>4</v>
      </c>
      <c r="B22" s="21">
        <f t="shared" si="13"/>
        <v>-0.13019791252561497</v>
      </c>
      <c r="C22" s="20">
        <v>-4.747710572163763E-4</v>
      </c>
      <c r="D22" s="19"/>
      <c r="E22" s="19"/>
      <c r="F22" s="19"/>
      <c r="G22" s="19"/>
      <c r="T22" t="s">
        <v>31</v>
      </c>
      <c r="U22" s="22">
        <f t="shared" ref="U22:AZ22" si="19">Shift+U8+U13+U18</f>
        <v>-0.11170357524568642</v>
      </c>
      <c r="V22" s="22">
        <f t="shared" si="19"/>
        <v>-9.5377896242682697E-2</v>
      </c>
      <c r="W22" s="22">
        <f t="shared" si="19"/>
        <v>-8.5146552916865251E-2</v>
      </c>
      <c r="X22" s="22">
        <f t="shared" si="19"/>
        <v>-7.6462522344332443E-2</v>
      </c>
      <c r="Y22" s="22">
        <f t="shared" si="19"/>
        <v>-7.1223697060034868E-2</v>
      </c>
      <c r="Z22" s="22">
        <f t="shared" si="19"/>
        <v>-6.7019459413683757E-2</v>
      </c>
      <c r="AA22" s="22">
        <f t="shared" si="19"/>
        <v>-6.3341731987394304E-2</v>
      </c>
      <c r="AB22" s="22">
        <f t="shared" si="19"/>
        <v>-6.001234202381283E-2</v>
      </c>
      <c r="AC22" s="22">
        <f t="shared" si="19"/>
        <v>-5.6948088827112518E-2</v>
      </c>
      <c r="AD22" s="22">
        <f t="shared" si="19"/>
        <v>-5.4101907776990442E-2</v>
      </c>
      <c r="AE22" s="22">
        <f t="shared" si="19"/>
        <v>-5.144322647435514E-2</v>
      </c>
      <c r="AF22" s="22">
        <f t="shared" si="19"/>
        <v>-4.8950079187706781E-2</v>
      </c>
      <c r="AG22" s="22">
        <f t="shared" si="19"/>
        <v>-4.6605497662588091E-2</v>
      </c>
      <c r="AH22" s="22">
        <f t="shared" si="19"/>
        <v>-4.4395684561436589E-2</v>
      </c>
      <c r="AI22" s="22">
        <f t="shared" si="19"/>
        <v>-4.230901060002791E-2</v>
      </c>
      <c r="AJ22" s="22">
        <f t="shared" si="19"/>
        <v>-4.0335424493449866E-2</v>
      </c>
      <c r="AK22" s="22">
        <f t="shared" si="19"/>
        <v>-3.8466084006897688E-2</v>
      </c>
      <c r="AL22" s="22">
        <f t="shared" si="19"/>
        <v>-3.6693112349571746E-2</v>
      </c>
      <c r="AM22" s="22">
        <f t="shared" si="19"/>
        <v>-3.5009429087016881E-2</v>
      </c>
      <c r="AN22" s="22">
        <f t="shared" si="19"/>
        <v>-3.340862748220412E-2</v>
      </c>
      <c r="AO22" s="22">
        <f t="shared" si="19"/>
        <v>-3.1884881862004166E-2</v>
      </c>
      <c r="AP22" s="22">
        <f t="shared" si="19"/>
        <v>-3.0432875129845306E-2</v>
      </c>
      <c r="AQ22" s="22">
        <f t="shared" si="19"/>
        <v>-2.9047740414289324E-2</v>
      </c>
      <c r="AR22" s="22">
        <f t="shared" si="19"/>
        <v>-2.7725012785661456E-2</v>
      </c>
      <c r="AS22" s="22">
        <f t="shared" si="19"/>
        <v>-2.6460588566865451E-2</v>
      </c>
      <c r="AT22" s="22">
        <f t="shared" si="19"/>
        <v>-2.5250690387261892E-2</v>
      </c>
      <c r="AU22" s="22">
        <f t="shared" si="19"/>
        <v>-2.4091836784403818E-2</v>
      </c>
      <c r="AV22" s="22">
        <f t="shared" si="19"/>
        <v>-2.2980815485369011E-2</v>
      </c>
      <c r="AW22" s="22">
        <f t="shared" si="19"/>
        <v>-2.1914659685470288E-2</v>
      </c>
      <c r="AX22" s="22">
        <f t="shared" si="19"/>
        <v>-2.0890626878601305E-2</v>
      </c>
      <c r="AY22" s="22">
        <f t="shared" si="19"/>
        <v>-1.9906179811988518E-2</v>
      </c>
      <c r="AZ22" s="22">
        <f t="shared" si="19"/>
        <v>-1.8958969347177466E-2</v>
      </c>
      <c r="BA22" s="22">
        <f t="shared" ref="BA22:CD22" si="20">Shift+BA8+BA13+BA18</f>
        <v>-1.8046818925683557E-2</v>
      </c>
      <c r="BB22" s="22">
        <f t="shared" si="20"/>
        <v>-1.7167710442462552E-2</v>
      </c>
      <c r="BC22" s="22">
        <f t="shared" si="20"/>
        <v>-1.6319771443853465E-2</v>
      </c>
      <c r="BD22" s="22">
        <f t="shared" si="20"/>
        <v>-1.5501263421338713E-2</v>
      </c>
      <c r="BE22" s="22">
        <f t="shared" si="20"/>
        <v>-1.4710571126306861E-2</v>
      </c>
      <c r="BF22" s="22">
        <f t="shared" si="20"/>
        <v>-1.3946192836679317E-2</v>
      </c>
      <c r="BG22" s="22">
        <f t="shared" si="20"/>
        <v>-1.3206731405969297E-2</v>
      </c>
      <c r="BH22" s="22">
        <f t="shared" si="20"/>
        <v>-1.2490886090032446E-2</v>
      </c>
      <c r="BI22" s="22">
        <f t="shared" si="20"/>
        <v>-1.1797445062366426E-2</v>
      </c>
      <c r="BJ22" s="22">
        <f t="shared" si="20"/>
        <v>-1.1125278540974592E-2</v>
      </c>
      <c r="BK22" s="22">
        <f t="shared" si="20"/>
        <v>-1.0473332473395717E-2</v>
      </c>
      <c r="BL22" s="22">
        <f t="shared" si="20"/>
        <v>-9.8406227474232884E-3</v>
      </c>
      <c r="BM22" s="22">
        <f t="shared" si="20"/>
        <v>-9.2262298832441088E-3</v>
      </c>
      <c r="BN22" s="22">
        <f t="shared" si="20"/>
        <v>-8.6292941384995703E-3</v>
      </c>
      <c r="BO22" s="22">
        <f t="shared" si="20"/>
        <v>-8.0490110179789291E-3</v>
      </c>
      <c r="BP22" s="22">
        <f t="shared" si="20"/>
        <v>-7.4846271427603216E-3</v>
      </c>
      <c r="BQ22" s="22">
        <f t="shared" si="20"/>
        <v>-6.9354364516551747E-3</v>
      </c>
      <c r="BR22" s="22">
        <f t="shared" si="20"/>
        <v>-6.4007766970730143E-3</v>
      </c>
      <c r="BS22" s="22">
        <f t="shared" si="20"/>
        <v>-5.8800262348888757E-3</v>
      </c>
      <c r="BT22" s="22">
        <f t="shared" si="20"/>
        <v>-5.3726010616276069E-3</v>
      </c>
      <c r="BU22" s="22">
        <f t="shared" si="20"/>
        <v>-4.8779520686883602E-3</v>
      </c>
      <c r="BV22" s="22">
        <f t="shared" si="20"/>
        <v>-4.3955625439147002E-3</v>
      </c>
      <c r="BW22" s="22">
        <f t="shared" si="20"/>
        <v>-3.9249458457955074E-3</v>
      </c>
      <c r="BX22" s="22">
        <f t="shared" si="20"/>
        <v>-3.4656432581316211E-3</v>
      </c>
      <c r="BY22" s="22">
        <f t="shared" si="20"/>
        <v>-3.0172220406003702E-3</v>
      </c>
      <c r="BZ22" s="22">
        <f t="shared" si="20"/>
        <v>-2.5792735877580852E-3</v>
      </c>
      <c r="CA22" s="22">
        <f t="shared" si="20"/>
        <v>-2.1514117499564639E-3</v>
      </c>
      <c r="CB22" s="22">
        <f t="shared" si="20"/>
        <v>-1.7332713136006296E-3</v>
      </c>
      <c r="CC22" s="22">
        <f t="shared" si="20"/>
        <v>-1.3245065289845155E-3</v>
      </c>
      <c r="CD22" s="22">
        <f t="shared" si="20"/>
        <v>-9.2478981823569673E-4</v>
      </c>
      <c r="CE22"/>
      <c r="CF22"/>
    </row>
    <row r="23" spans="1:84" x14ac:dyDescent="0.35">
      <c r="A23" s="19">
        <v>4.5</v>
      </c>
      <c r="B23" s="21">
        <f t="shared" si="13"/>
        <v>-0.13022826947801053</v>
      </c>
      <c r="C23" s="20">
        <v>-7.1056875093652994E-4</v>
      </c>
      <c r="D23" s="19"/>
      <c r="E23" s="19"/>
      <c r="F23" s="19"/>
      <c r="G23" s="19"/>
      <c r="T23" t="s">
        <v>32</v>
      </c>
      <c r="U23" s="22">
        <f t="shared" ref="U23:AZ23" si="21">Shift+SUM(U8,U13,U18)+SUM(U9*$U$37,U14*$U$36,U19*$U$35)</f>
        <v>4.4906221969022914E-2</v>
      </c>
      <c r="V23" s="22">
        <f t="shared" si="21"/>
        <v>4.1006133205942069E-2</v>
      </c>
      <c r="W23" s="22">
        <f t="shared" si="21"/>
        <v>3.9058641293042332E-2</v>
      </c>
      <c r="X23" s="22">
        <f t="shared" si="21"/>
        <v>3.8323937743047182E-2</v>
      </c>
      <c r="Y23" s="22">
        <f t="shared" si="21"/>
        <v>3.8433511747994004E-2</v>
      </c>
      <c r="Z23" s="22">
        <f t="shared" si="21"/>
        <v>3.8731736860098162E-2</v>
      </c>
      <c r="AA23" s="22">
        <f t="shared" si="21"/>
        <v>3.9086237507835991E-2</v>
      </c>
      <c r="AB23" s="22">
        <f t="shared" si="21"/>
        <v>3.9454771734490732E-2</v>
      </c>
      <c r="AC23" s="22">
        <f t="shared" si="21"/>
        <v>3.9820596224729776E-2</v>
      </c>
      <c r="AD23" s="22">
        <f t="shared" si="21"/>
        <v>4.0176331086675121E-2</v>
      </c>
      <c r="AE23" s="22">
        <f t="shared" si="21"/>
        <v>4.05186127487287E-2</v>
      </c>
      <c r="AF23" s="22">
        <f t="shared" si="21"/>
        <v>4.0845978664125995E-2</v>
      </c>
      <c r="AG23" s="22">
        <f t="shared" si="21"/>
        <v>4.1157923570076027E-2</v>
      </c>
      <c r="AH23" s="22">
        <f t="shared" si="21"/>
        <v>4.1454441086904881E-2</v>
      </c>
      <c r="AI23" s="22">
        <f t="shared" si="21"/>
        <v>4.1735787122100382E-2</v>
      </c>
      <c r="AJ23" s="22">
        <f t="shared" si="21"/>
        <v>4.2002352487100908E-2</v>
      </c>
      <c r="AK23" s="22">
        <f t="shared" si="21"/>
        <v>4.2254592461696008E-2</v>
      </c>
      <c r="AL23" s="22">
        <f t="shared" si="21"/>
        <v>4.2492987315600861E-2</v>
      </c>
      <c r="AM23" s="22">
        <f t="shared" si="21"/>
        <v>4.2718020321365957E-2</v>
      </c>
      <c r="AN23" s="22">
        <f t="shared" si="21"/>
        <v>4.2930165748138099E-2</v>
      </c>
      <c r="AO23" s="22">
        <f t="shared" si="21"/>
        <v>4.3129882708614273E-2</v>
      </c>
      <c r="AP23" s="22">
        <f t="shared" si="21"/>
        <v>4.3317612471901051E-2</v>
      </c>
      <c r="AQ23" s="22">
        <f t="shared" si="21"/>
        <v>4.3493777690939789E-2</v>
      </c>
      <c r="AR23" s="22">
        <f t="shared" si="21"/>
        <v>4.3658782817736927E-2</v>
      </c>
      <c r="AS23" s="22">
        <f t="shared" si="21"/>
        <v>4.381301506020753E-2</v>
      </c>
      <c r="AT23" s="22">
        <f t="shared" si="21"/>
        <v>4.3956845651275861E-2</v>
      </c>
      <c r="AU23" s="22">
        <f t="shared" si="21"/>
        <v>4.4090631205311606E-2</v>
      </c>
      <c r="AV23" s="22">
        <f t="shared" si="21"/>
        <v>4.4214715038354405E-2</v>
      </c>
      <c r="AW23" s="22">
        <f t="shared" si="21"/>
        <v>4.4329428425787423E-2</v>
      </c>
      <c r="AX23" s="22">
        <f t="shared" si="21"/>
        <v>4.4435091725409465E-2</v>
      </c>
      <c r="AY23" s="22">
        <f t="shared" si="21"/>
        <v>4.4532015406088324E-2</v>
      </c>
      <c r="AZ23" s="22">
        <f t="shared" si="21"/>
        <v>4.4620500904281768E-2</v>
      </c>
      <c r="BA23" s="22">
        <f t="shared" ref="BA23:CD23" si="22">Shift+SUM(BA8,BA13,BA18)+SUM(BA9*$U$37,BA14*$U$36,BA19*$U$35)</f>
        <v>4.4700841378764192E-2</v>
      </c>
      <c r="BB23" s="22">
        <f t="shared" si="22"/>
        <v>4.4773322375823398E-2</v>
      </c>
      <c r="BC23" s="22">
        <f t="shared" si="22"/>
        <v>4.483822233795224E-2</v>
      </c>
      <c r="BD23" s="22">
        <f t="shared" si="22"/>
        <v>4.4895813059977377E-2</v>
      </c>
      <c r="BE23" s="22">
        <f t="shared" si="22"/>
        <v>4.494636006222863E-2</v>
      </c>
      <c r="BF23" s="22">
        <f t="shared" si="22"/>
        <v>4.4990122859799642E-2</v>
      </c>
      <c r="BG23" s="22">
        <f t="shared" si="22"/>
        <v>4.5027355219190136E-2</v>
      </c>
      <c r="BH23" s="22">
        <f t="shared" si="22"/>
        <v>4.5058305338540897E-2</v>
      </c>
      <c r="BI23" s="22">
        <f t="shared" si="22"/>
        <v>4.5083215979936211E-2</v>
      </c>
      <c r="BJ23" s="22">
        <f t="shared" si="22"/>
        <v>4.510232457663263E-2</v>
      </c>
      <c r="BK23" s="22">
        <f t="shared" si="22"/>
        <v>4.5115863320008429E-2</v>
      </c>
      <c r="BL23" s="22">
        <f t="shared" si="22"/>
        <v>4.5124059214830779E-2</v>
      </c>
      <c r="BM23" s="22">
        <f t="shared" si="22"/>
        <v>4.5127134107325134E-2</v>
      </c>
      <c r="BN23" s="22">
        <f t="shared" si="22"/>
        <v>4.5125304718337235E-2</v>
      </c>
      <c r="BO23" s="22">
        <f t="shared" si="22"/>
        <v>4.5118782656835471E-2</v>
      </c>
      <c r="BP23" s="22">
        <f t="shared" si="22"/>
        <v>4.510777442870665E-2</v>
      </c>
      <c r="BQ23" s="22">
        <f t="shared" si="22"/>
        <v>4.5092481440278595E-2</v>
      </c>
      <c r="BR23" s="22">
        <f t="shared" si="22"/>
        <v>4.5073100009008514E-2</v>
      </c>
      <c r="BS23" s="22">
        <f t="shared" si="22"/>
        <v>4.5049821358362413E-2</v>
      </c>
      <c r="BT23" s="22">
        <f t="shared" si="22"/>
        <v>4.5022831622040557E-2</v>
      </c>
      <c r="BU23" s="22">
        <f t="shared" si="22"/>
        <v>4.4992311867989521E-2</v>
      </c>
      <c r="BV23" s="22">
        <f t="shared" si="22"/>
        <v>4.4958438093608805E-2</v>
      </c>
      <c r="BW23" s="22">
        <f t="shared" si="22"/>
        <v>4.4921381249994882E-2</v>
      </c>
      <c r="BX23" s="22">
        <f t="shared" si="22"/>
        <v>4.4881307271815385E-2</v>
      </c>
      <c r="BY23" s="22">
        <f t="shared" si="22"/>
        <v>4.483837708300107E-2</v>
      </c>
      <c r="BZ23" s="22">
        <f t="shared" si="22"/>
        <v>4.479274665243059E-2</v>
      </c>
      <c r="CA23" s="22">
        <f t="shared" si="22"/>
        <v>4.4744567033857811E-2</v>
      </c>
      <c r="CB23" s="22">
        <f t="shared" si="22"/>
        <v>4.4693984381307547E-2</v>
      </c>
      <c r="CC23" s="22">
        <f t="shared" si="22"/>
        <v>4.4641140041216387E-2</v>
      </c>
      <c r="CD23" s="22">
        <f t="shared" si="22"/>
        <v>4.4586170579089507E-2</v>
      </c>
      <c r="CE23"/>
      <c r="CF23"/>
    </row>
    <row r="24" spans="1:84" x14ac:dyDescent="0.35">
      <c r="A24" s="19">
        <v>5</v>
      </c>
      <c r="B24" s="21">
        <f t="shared" si="13"/>
        <v>-0.13083730189077203</v>
      </c>
      <c r="C24" s="20">
        <v>-9.3117637417050592E-4</v>
      </c>
      <c r="D24" s="19"/>
      <c r="E24" s="19"/>
      <c r="F24" s="19"/>
      <c r="G24" s="19"/>
      <c r="T24" t="s">
        <v>33</v>
      </c>
      <c r="U24"/>
      <c r="V24"/>
      <c r="W24">
        <f>EXP(-W23*W3)</f>
        <v>0.98066014117776834</v>
      </c>
      <c r="X24">
        <f t="shared" ref="X24:CD24" si="23">EXP(-X23*X3)+W24</f>
        <v>1.9430612735176991</v>
      </c>
      <c r="Y24">
        <f t="shared" si="23"/>
        <v>2.8870413036115545</v>
      </c>
      <c r="Z24">
        <f t="shared" si="23"/>
        <v>3.8125021310319678</v>
      </c>
      <c r="AA24">
        <f t="shared" si="23"/>
        <v>4.7194089280543983</v>
      </c>
      <c r="AB24">
        <f t="shared" si="23"/>
        <v>5.6077812741549646</v>
      </c>
      <c r="AC24">
        <f t="shared" si="23"/>
        <v>6.4776855624959833</v>
      </c>
      <c r="AD24">
        <f t="shared" si="23"/>
        <v>7.329228525614405</v>
      </c>
      <c r="AE24">
        <f t="shared" si="23"/>
        <v>8.1625516918636567</v>
      </c>
      <c r="AF24">
        <f t="shared" si="23"/>
        <v>8.9778266152459132</v>
      </c>
      <c r="AG24">
        <f t="shared" si="23"/>
        <v>9.7752507484432325</v>
      </c>
      <c r="AH24">
        <f t="shared" si="23"/>
        <v>10.555043851854071</v>
      </c>
      <c r="AI24">
        <f t="shared" si="23"/>
        <v>11.317444850864415</v>
      </c>
      <c r="AJ24">
        <f t="shared" si="23"/>
        <v>12.062709069635424</v>
      </c>
      <c r="AK24">
        <f t="shared" si="23"/>
        <v>12.791105782858729</v>
      </c>
      <c r="AL24">
        <f t="shared" si="23"/>
        <v>13.502916038106569</v>
      </c>
      <c r="AM24">
        <f t="shared" si="23"/>
        <v>14.198430709755247</v>
      </c>
      <c r="AN24">
        <f t="shared" si="23"/>
        <v>14.87794875320521</v>
      </c>
      <c r="AO24">
        <f t="shared" si="23"/>
        <v>15.541775633643041</v>
      </c>
      <c r="AP24">
        <f t="shared" si="23"/>
        <v>16.190221907972195</v>
      </c>
      <c r="AQ24">
        <f t="shared" si="23"/>
        <v>16.82360194296319</v>
      </c>
      <c r="AR24">
        <f t="shared" si="23"/>
        <v>17.442232754796045</v>
      </c>
      <c r="AS24">
        <f t="shared" si="23"/>
        <v>18.046432958313101</v>
      </c>
      <c r="AT24">
        <f t="shared" si="23"/>
        <v>18.636521815621201</v>
      </c>
      <c r="AU24">
        <f t="shared" si="23"/>
        <v>19.21281837539313</v>
      </c>
      <c r="AV24">
        <f t="shared" si="23"/>
        <v>19.775640695495042</v>
      </c>
      <c r="AW24">
        <f t="shared" si="23"/>
        <v>20.325305142250794</v>
      </c>
      <c r="AX24">
        <f t="shared" si="23"/>
        <v>20.862125760688642</v>
      </c>
      <c r="AY24">
        <f t="shared" si="23"/>
        <v>21.386413710323982</v>
      </c>
      <c r="AZ24">
        <f t="shared" si="23"/>
        <v>21.898476762079753</v>
      </c>
      <c r="BA24">
        <f t="shared" si="23"/>
        <v>22.398618851859986</v>
      </c>
      <c r="BB24">
        <f t="shared" si="23"/>
        <v>22.887139686578251</v>
      </c>
      <c r="BC24">
        <f t="shared" si="23"/>
        <v>23.364334399318473</v>
      </c>
      <c r="BD24">
        <f t="shared" si="23"/>
        <v>23.830493249828859</v>
      </c>
      <c r="BE24">
        <f t="shared" si="23"/>
        <v>24.285901367070796</v>
      </c>
      <c r="BF24">
        <f t="shared" si="23"/>
        <v>24.730838530983668</v>
      </c>
      <c r="BG24">
        <f t="shared" si="23"/>
        <v>25.165578990148646</v>
      </c>
      <c r="BH24">
        <f t="shared" si="23"/>
        <v>25.590391312765252</v>
      </c>
      <c r="BI24">
        <f t="shared" si="23"/>
        <v>26.00553826834253</v>
      </c>
      <c r="BJ24">
        <f t="shared" si="23"/>
        <v>26.411276737519355</v>
      </c>
      <c r="BK24">
        <f t="shared" si="23"/>
        <v>26.80785764757287</v>
      </c>
      <c r="BL24">
        <f t="shared" si="23"/>
        <v>27.195525931440983</v>
      </c>
      <c r="BM24">
        <f t="shared" si="23"/>
        <v>27.574520508214235</v>
      </c>
      <c r="BN24">
        <f t="shared" si="23"/>
        <v>27.945074282945289</v>
      </c>
      <c r="BO24">
        <f t="shared" si="23"/>
        <v>28.307414163972954</v>
      </c>
      <c r="BP24">
        <f t="shared" si="23"/>
        <v>28.661761095976317</v>
      </c>
      <c r="BQ24">
        <f t="shared" si="23"/>
        <v>29.008330107111952</v>
      </c>
      <c r="BR24">
        <f t="shared" si="23"/>
        <v>29.347330368611733</v>
      </c>
      <c r="BS24">
        <f t="shared" si="23"/>
        <v>29.678965265525321</v>
      </c>
      <c r="BT24">
        <f t="shared" si="23"/>
        <v>30.003432477199066</v>
      </c>
      <c r="BU24">
        <f t="shared" si="23"/>
        <v>30.320924066105452</v>
      </c>
      <c r="BV24">
        <f t="shared" si="23"/>
        <v>30.631626574132362</v>
      </c>
      <c r="BW24">
        <f t="shared" si="23"/>
        <v>30.935721125066181</v>
      </c>
      <c r="BX24">
        <f t="shared" si="23"/>
        <v>31.23338353228273</v>
      </c>
      <c r="BY24">
        <f t="shared" si="23"/>
        <v>31.524784410982836</v>
      </c>
      <c r="BZ24">
        <f t="shared" si="23"/>
        <v>31.810089293789936</v>
      </c>
      <c r="CA24">
        <f t="shared" si="23"/>
        <v>32.089458749131062</v>
      </c>
      <c r="CB24">
        <f t="shared" si="23"/>
        <v>32.363048501956669</v>
      </c>
      <c r="CC24">
        <f t="shared" si="23"/>
        <v>32.631009555611271</v>
      </c>
      <c r="CD24">
        <f t="shared" si="23"/>
        <v>32.893488314859852</v>
      </c>
      <c r="CE24"/>
      <c r="CF24"/>
    </row>
    <row r="25" spans="1:84" x14ac:dyDescent="0.35">
      <c r="A25" s="19">
        <v>5.5</v>
      </c>
      <c r="B25" s="21">
        <f t="shared" si="13"/>
        <v>-0.12657832256058477</v>
      </c>
      <c r="C25" s="20">
        <v>-9.4576684238804193E-4</v>
      </c>
      <c r="D25" s="19"/>
      <c r="E25" s="19"/>
      <c r="F25" s="19"/>
      <c r="G25" s="19"/>
      <c r="T25" t="s">
        <v>34</v>
      </c>
      <c r="U25" s="22">
        <f>(EXP(U23/12)-1)/(0.5-5/12*EXP(U23/12))</f>
        <v>4.5849850938212026E-2</v>
      </c>
      <c r="V25" s="22">
        <f>(EXP(V23/4)-1)/(0.5-EXP(V23/4)/4)</f>
        <v>4.1646174188919395E-2</v>
      </c>
      <c r="W25" s="22">
        <f t="shared" ref="W25:CD25" si="24">2*(1-EXP(-W23*W3))/W24</f>
        <v>3.9442530618211069E-2</v>
      </c>
      <c r="X25" s="22">
        <f t="shared" si="24"/>
        <v>3.8700650537901601E-2</v>
      </c>
      <c r="Y25" s="22">
        <f t="shared" si="24"/>
        <v>3.8807875617204488E-2</v>
      </c>
      <c r="Z25" s="22">
        <f t="shared" si="24"/>
        <v>3.9102494906362334E-2</v>
      </c>
      <c r="AA25" s="22">
        <f t="shared" si="24"/>
        <v>3.945121280937499E-2</v>
      </c>
      <c r="AB25" s="22">
        <f t="shared" si="24"/>
        <v>3.9811700364955641E-2</v>
      </c>
      <c r="AC25" s="22">
        <f t="shared" si="24"/>
        <v>4.0167343846450397E-2</v>
      </c>
      <c r="AD25" s="22">
        <f t="shared" si="24"/>
        <v>4.0510958653491691E-2</v>
      </c>
      <c r="AE25" s="22">
        <f t="shared" si="24"/>
        <v>4.083939435676464E-2</v>
      </c>
      <c r="AF25" s="22">
        <f t="shared" si="24"/>
        <v>4.1151402123103663E-2</v>
      </c>
      <c r="AG25" s="22">
        <f t="shared" si="24"/>
        <v>4.1446684492455012E-2</v>
      </c>
      <c r="AH25" s="22">
        <f t="shared" si="24"/>
        <v>4.1725434717256996E-2</v>
      </c>
      <c r="AI25" s="22">
        <f t="shared" si="24"/>
        <v>4.198809963213692E-2</v>
      </c>
      <c r="AJ25" s="22">
        <f t="shared" si="24"/>
        <v>4.2235252422727895E-2</v>
      </c>
      <c r="AK25" s="22">
        <f t="shared" si="24"/>
        <v>4.2467522571921788E-2</v>
      </c>
      <c r="AL25" s="22">
        <f t="shared" si="24"/>
        <v>4.2685556799562312E-2</v>
      </c>
      <c r="AM25" s="22">
        <f t="shared" si="24"/>
        <v>4.2889997433606844E-2</v>
      </c>
      <c r="AN25" s="22">
        <f t="shared" si="24"/>
        <v>4.308147068741508E-2</v>
      </c>
      <c r="AO25" s="22">
        <f t="shared" si="24"/>
        <v>4.3260580706680693E-2</v>
      </c>
      <c r="AP25" s="22">
        <f t="shared" si="24"/>
        <v>4.3427907000797919E-2</v>
      </c>
      <c r="AQ25" s="22">
        <f t="shared" si="24"/>
        <v>4.3584003740928988E-2</v>
      </c>
      <c r="AR25" s="22">
        <f t="shared" si="24"/>
        <v>4.3729400189580742E-2</v>
      </c>
      <c r="AS25" s="22">
        <f t="shared" si="24"/>
        <v>4.386460165255171E-2</v>
      </c>
      <c r="AT25" s="22">
        <f t="shared" si="24"/>
        <v>4.3990090720502577E-2</v>
      </c>
      <c r="AU25" s="22">
        <f t="shared" si="24"/>
        <v>4.4106328592657833E-2</v>
      </c>
      <c r="AV25" s="22">
        <f t="shared" si="24"/>
        <v>4.4213756371259176E-2</v>
      </c>
      <c r="AW25" s="22">
        <f t="shared" si="24"/>
        <v>4.4312796299241897E-2</v>
      </c>
      <c r="AX25" s="22">
        <f t="shared" si="24"/>
        <v>4.4403852883960551E-2</v>
      </c>
      <c r="AY25" s="22">
        <f t="shared" si="24"/>
        <v>4.4487313937541156E-2</v>
      </c>
      <c r="AZ25" s="22">
        <f t="shared" si="24"/>
        <v>4.4563551478535655E-2</v>
      </c>
      <c r="BA25" s="22">
        <f t="shared" si="24"/>
        <v>4.4632922549888383E-2</v>
      </c>
      <c r="BB25" s="22">
        <f t="shared" si="24"/>
        <v>4.4695769963922896E-2</v>
      </c>
      <c r="BC25" s="22">
        <f t="shared" si="24"/>
        <v>4.4752422930141797E-2</v>
      </c>
      <c r="BD25" s="22">
        <f t="shared" si="24"/>
        <v>4.4803197642033409E-2</v>
      </c>
      <c r="BE25" s="22">
        <f t="shared" si="24"/>
        <v>4.4848397803053983E-2</v>
      </c>
      <c r="BF25" s="22">
        <f t="shared" si="24"/>
        <v>4.4888315080115537E-2</v>
      </c>
      <c r="BG25" s="22">
        <f t="shared" si="24"/>
        <v>4.4923229547494073E-2</v>
      </c>
      <c r="BH25" s="22">
        <f t="shared" si="24"/>
        <v>4.495341007907714E-2</v>
      </c>
      <c r="BI25" s="22">
        <f t="shared" si="24"/>
        <v>4.4979114709168176E-2</v>
      </c>
      <c r="BJ25" s="22">
        <f t="shared" si="24"/>
        <v>4.5000590977033475E-2</v>
      </c>
      <c r="BK25" s="22">
        <f t="shared" si="24"/>
        <v>4.5018076258034417E-2</v>
      </c>
      <c r="BL25" s="22">
        <f t="shared" si="24"/>
        <v>4.5031798074106413E-2</v>
      </c>
      <c r="BM25" s="22">
        <f t="shared" si="24"/>
        <v>4.5041974386590265E-2</v>
      </c>
      <c r="BN25" s="22">
        <f t="shared" si="24"/>
        <v>4.5048813890832408E-2</v>
      </c>
      <c r="BO25" s="22">
        <f t="shared" si="24"/>
        <v>4.5052516296871126E-2</v>
      </c>
      <c r="BP25" s="22">
        <f t="shared" si="24"/>
        <v>4.5053272604890733E-2</v>
      </c>
      <c r="BQ25" s="22">
        <f t="shared" si="24"/>
        <v>4.5051265374573359E-2</v>
      </c>
      <c r="BR25" s="22">
        <f t="shared" si="24"/>
        <v>4.5046668994954929E-2</v>
      </c>
      <c r="BS25" s="22">
        <f t="shared" si="24"/>
        <v>4.5039649941083185E-2</v>
      </c>
      <c r="BT25" s="22">
        <f t="shared" si="24"/>
        <v>4.5030367031480292E-2</v>
      </c>
      <c r="BU25" s="22">
        <f t="shared" si="24"/>
        <v>4.5018971691338637E-2</v>
      </c>
      <c r="BV25" s="22">
        <f t="shared" si="24"/>
        <v>4.500560819419118E-2</v>
      </c>
      <c r="BW25" s="22">
        <f t="shared" si="24"/>
        <v>4.4990413913597843E-2</v>
      </c>
      <c r="BX25" s="22">
        <f t="shared" si="24"/>
        <v>4.4973519571295792E-2</v>
      </c>
      <c r="BY25" s="22">
        <f t="shared" si="24"/>
        <v>4.4955049465970558E-2</v>
      </c>
      <c r="BZ25" s="22">
        <f t="shared" si="24"/>
        <v>4.4935121721423457E-2</v>
      </c>
      <c r="CA25" s="22">
        <f t="shared" si="24"/>
        <v>4.4913848519080438E-2</v>
      </c>
      <c r="CB25" s="22">
        <f t="shared" si="24"/>
        <v>4.4891336310945933E-2</v>
      </c>
      <c r="CC25" s="22">
        <f t="shared" si="24"/>
        <v>4.4867686063946068E-2</v>
      </c>
      <c r="CD25" s="22">
        <f t="shared" si="24"/>
        <v>4.4842993463738989E-2</v>
      </c>
      <c r="CE25"/>
      <c r="CF25"/>
    </row>
    <row r="26" spans="1:84" x14ac:dyDescent="0.35">
      <c r="A26" s="19">
        <v>6</v>
      </c>
      <c r="B26" s="21">
        <f t="shared" si="13"/>
        <v>-0.13049310946510301</v>
      </c>
      <c r="C26" s="20">
        <v>-9.4358421483311389E-4</v>
      </c>
      <c r="D26" s="19"/>
      <c r="E26" s="19"/>
      <c r="F26" s="19"/>
      <c r="G26" s="19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</row>
    <row r="27" spans="1:84" x14ac:dyDescent="0.35">
      <c r="A27" s="19">
        <v>6.5</v>
      </c>
      <c r="B27" s="21">
        <f t="shared" si="13"/>
        <v>-0.12613117160472653</v>
      </c>
      <c r="C27" s="20">
        <v>-9.2453926244593504E-4</v>
      </c>
      <c r="D27" s="19"/>
      <c r="E27" s="19"/>
      <c r="F27" s="19"/>
      <c r="G27" s="19"/>
      <c r="T27" t="s">
        <v>35</v>
      </c>
      <c r="U27" s="22" cm="1">
        <f t="array" ref="U27:CD27">TRANSPOSE('Tsy Recalibration'!AC45:AC106)-U22:CD22</f>
        <v>0.15464164032138128</v>
      </c>
      <c r="V27">
        <v>0.13788961305984493</v>
      </c>
      <c r="W27">
        <v>0.1272012873010164</v>
      </c>
      <c r="X27">
        <v>0.1168349578673494</v>
      </c>
      <c r="Y27">
        <v>0.11115191367493323</v>
      </c>
      <c r="Z27">
        <v>0.10649836757659337</v>
      </c>
      <c r="AA27">
        <v>0.10282630111245648</v>
      </c>
      <c r="AB27">
        <v>9.950068512364349E-2</v>
      </c>
      <c r="AC27">
        <v>9.6543206844842078E-2</v>
      </c>
      <c r="AD27">
        <v>9.3803467806449187E-2</v>
      </c>
      <c r="AE27">
        <v>9.1251270472147317E-2</v>
      </c>
      <c r="AF27">
        <v>8.8864881477662278E-2</v>
      </c>
      <c r="AG27">
        <v>8.6817654390276083E-2</v>
      </c>
      <c r="AH27">
        <v>8.4906541433508356E-2</v>
      </c>
      <c r="AI27">
        <v>8.312025845968235E-2</v>
      </c>
      <c r="AJ27">
        <v>8.1449031076634287E-2</v>
      </c>
      <c r="AK27">
        <v>7.9760615158901621E-2</v>
      </c>
      <c r="AL27">
        <v>7.8170311202599707E-2</v>
      </c>
      <c r="AM27">
        <v>7.6671061259548867E-2</v>
      </c>
      <c r="AN27">
        <v>7.5256488730465254E-2</v>
      </c>
      <c r="AO27">
        <v>7.3920804303031107E-2</v>
      </c>
      <c r="AP27">
        <v>7.2658732499042866E-2</v>
      </c>
      <c r="AQ27">
        <v>7.145111277418599E-2</v>
      </c>
      <c r="AR27">
        <v>7.0307786718882964E-2</v>
      </c>
      <c r="AS27">
        <v>6.9224688902226161E-2</v>
      </c>
      <c r="AT27">
        <v>6.8198085107874756E-2</v>
      </c>
      <c r="AU27">
        <v>6.7224541508143471E-2</v>
      </c>
      <c r="AV27">
        <v>6.6300897650725499E-2</v>
      </c>
      <c r="AW27">
        <v>6.5424242543919722E-2</v>
      </c>
      <c r="AX27">
        <v>6.459189337205587E-2</v>
      </c>
      <c r="AY27">
        <v>6.380137639779189E-2</v>
      </c>
      <c r="AZ27">
        <v>6.3050409821577086E-2</v>
      </c>
      <c r="BA27">
        <v>6.2336888288425485E-2</v>
      </c>
      <c r="BB27">
        <v>6.1658868839255129E-2</v>
      </c>
      <c r="BC27">
        <v>6.1014558219295259E-2</v>
      </c>
      <c r="BD27">
        <v>6.0402301312093905E-2</v>
      </c>
      <c r="BE27">
        <v>5.9820570622521226E-2</v>
      </c>
      <c r="BF27">
        <v>5.9267956738661358E-2</v>
      </c>
      <c r="BG27">
        <v>5.8743159602848823E-2</v>
      </c>
      <c r="BH27">
        <v>5.8244980587371174E-2</v>
      </c>
      <c r="BI27">
        <v>5.7772315286437455E-2</v>
      </c>
      <c r="BJ27">
        <v>5.7324146948622999E-2</v>
      </c>
      <c r="BK27">
        <v>5.6609677410222436E-2</v>
      </c>
      <c r="BL27">
        <v>5.5915779078641807E-2</v>
      </c>
      <c r="BM27">
        <v>5.524141514916861E-2</v>
      </c>
      <c r="BN27">
        <v>5.4585618798342159E-2</v>
      </c>
      <c r="BO27">
        <v>5.3947487551009296E-2</v>
      </c>
      <c r="BP27">
        <v>5.3326178155952045E-2</v>
      </c>
      <c r="BQ27">
        <v>5.2720901920738375E-2</v>
      </c>
      <c r="BR27">
        <v>5.2130920449415856E-2</v>
      </c>
      <c r="BS27">
        <v>5.1555541767144497E-2</v>
      </c>
      <c r="BT27">
        <v>5.0994116772080836E-2</v>
      </c>
      <c r="BU27">
        <v>5.0446035973276265E-2</v>
      </c>
      <c r="BV27">
        <v>4.9910726535612682E-2</v>
      </c>
      <c r="BW27">
        <v>4.9387649549189942E-2</v>
      </c>
      <c r="BX27">
        <v>4.8876297524286391E-2</v>
      </c>
      <c r="BY27">
        <v>4.837619212159476E-2</v>
      </c>
      <c r="BZ27">
        <v>4.788688202535981E-2</v>
      </c>
      <c r="CA27">
        <v>4.7407941008666139E-2</v>
      </c>
      <c r="CB27">
        <v>4.6938966184667918E-2</v>
      </c>
      <c r="CC27">
        <v>4.6479576328844779E-2</v>
      </c>
      <c r="CD27">
        <v>4.6029410402091991E-2</v>
      </c>
      <c r="CE27"/>
      <c r="CF27"/>
    </row>
    <row r="28" spans="1:84" x14ac:dyDescent="0.35">
      <c r="A28" s="19">
        <v>7</v>
      </c>
      <c r="B28" s="21">
        <f t="shared" ref="B28:B30" si="25">2*Shift+2*(C28*A28-C27*A27)/(A28-A27)-B27</f>
        <v>-0.12994797428357074</v>
      </c>
      <c r="C28" s="20">
        <v>-8.8874590391648661E-4</v>
      </c>
      <c r="D28" s="19"/>
      <c r="E28" s="19"/>
      <c r="F28" s="19"/>
      <c r="G28" s="19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</row>
    <row r="29" spans="1:84" x14ac:dyDescent="0.35">
      <c r="A29" s="19">
        <v>7.5</v>
      </c>
      <c r="B29" s="21">
        <f t="shared" si="25"/>
        <v>-0.12920126109975966</v>
      </c>
      <c r="C29" s="20">
        <v>-9.6006130969206877E-4</v>
      </c>
      <c r="D29" s="19"/>
      <c r="E29" s="19"/>
      <c r="F29" s="19"/>
      <c r="G29" s="19"/>
      <c r="T29" t="s">
        <v>36</v>
      </c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</row>
    <row r="30" spans="1:84" x14ac:dyDescent="0.35">
      <c r="A30" s="19">
        <v>8</v>
      </c>
      <c r="B30" s="21">
        <f t="shared" si="25"/>
        <v>-0.12973441181404083</v>
      </c>
      <c r="C30" s="20">
        <v>-1.0157884625728933E-3</v>
      </c>
      <c r="D30" s="19"/>
      <c r="E30" s="19"/>
      <c r="F30" s="19"/>
      <c r="G30" s="19"/>
      <c r="T30" t="s">
        <v>37</v>
      </c>
      <c r="U30" cm="1">
        <f t="array" ref="U30:CD30">U9:CD9</f>
        <v>0.68433290430388583</v>
      </c>
      <c r="V30">
        <v>0.37406782459069288</v>
      </c>
      <c r="W30">
        <v>0.20332938670702397</v>
      </c>
      <c r="X30">
        <v>0.10243641738256672</v>
      </c>
      <c r="Y30">
        <v>6.8294850282742417E-2</v>
      </c>
      <c r="Z30">
        <v>5.122115994581436E-2</v>
      </c>
      <c r="AA30">
        <v>4.0976928091669987E-2</v>
      </c>
      <c r="AB30">
        <v>3.4147440077245746E-2</v>
      </c>
      <c r="AC30">
        <v>2.9269234351930479E-2</v>
      </c>
      <c r="AD30">
        <v>2.5610580057939206E-2</v>
      </c>
      <c r="AE30">
        <v>2.2764960051501516E-2</v>
      </c>
      <c r="AF30">
        <v>2.0488464046351365E-2</v>
      </c>
      <c r="AG30">
        <v>1.8625876405773966E-2</v>
      </c>
      <c r="AH30">
        <v>1.7073720038626134E-2</v>
      </c>
      <c r="AI30">
        <v>1.5760356958731819E-2</v>
      </c>
      <c r="AJ30">
        <v>1.4634617175965261E-2</v>
      </c>
      <c r="AK30">
        <v>1.3658976030900908E-2</v>
      </c>
      <c r="AL30">
        <v>1.2805290028969601E-2</v>
      </c>
      <c r="AM30">
        <v>1.2052037674324332E-2</v>
      </c>
      <c r="AN30">
        <v>1.1382480025750756E-2</v>
      </c>
      <c r="AO30">
        <v>1.0783402129658613E-2</v>
      </c>
      <c r="AP30">
        <v>1.0244232023175683E-2</v>
      </c>
      <c r="AQ30">
        <v>9.7564114506435064E-3</v>
      </c>
      <c r="AR30">
        <v>9.312938202886983E-3</v>
      </c>
      <c r="AS30">
        <v>8.9080278462397248E-3</v>
      </c>
      <c r="AT30">
        <v>8.5368600193130688E-3</v>
      </c>
      <c r="AU30">
        <v>8.1953856185405464E-3</v>
      </c>
      <c r="AV30">
        <v>7.8801784793659096E-3</v>
      </c>
      <c r="AW30">
        <v>7.5883200171671713E-3</v>
      </c>
      <c r="AX30">
        <v>7.3173085879826303E-3</v>
      </c>
      <c r="AY30">
        <v>7.0649876021901259E-3</v>
      </c>
      <c r="AZ30">
        <v>6.829488015450455E-3</v>
      </c>
      <c r="BA30">
        <v>6.6091819504359231E-3</v>
      </c>
      <c r="BB30">
        <v>6.4026450144848007E-3</v>
      </c>
      <c r="BC30">
        <v>6.2086254685913226E-3</v>
      </c>
      <c r="BD30">
        <v>6.0260188371621662E-3</v>
      </c>
      <c r="BE30">
        <v>5.8538468703861046E-3</v>
      </c>
      <c r="BF30">
        <v>5.6912400128753789E-3</v>
      </c>
      <c r="BG30">
        <v>5.5374227152300984E-3</v>
      </c>
      <c r="BH30">
        <v>5.3917010648293065E-3</v>
      </c>
      <c r="BI30">
        <v>5.2534523195772731E-3</v>
      </c>
      <c r="BJ30">
        <v>5.1221160115878413E-3</v>
      </c>
      <c r="BK30">
        <v>4.9971863527686258E-3</v>
      </c>
      <c r="BL30">
        <v>4.8782057253217532E-3</v>
      </c>
      <c r="BM30">
        <v>4.7647590805468282E-3</v>
      </c>
      <c r="BN30">
        <v>4.6564691014434924E-3</v>
      </c>
      <c r="BO30">
        <v>4.5529920103003036E-3</v>
      </c>
      <c r="BP30">
        <v>4.4540139231198624E-3</v>
      </c>
      <c r="BQ30">
        <v>4.3592476694364604E-3</v>
      </c>
      <c r="BR30">
        <v>4.2684300096565335E-3</v>
      </c>
      <c r="BS30">
        <v>4.1813191931329308E-3</v>
      </c>
      <c r="BT30">
        <v>4.0976928092702732E-3</v>
      </c>
      <c r="BU30">
        <v>4.0173458914414435E-3</v>
      </c>
      <c r="BV30">
        <v>3.940089239682954E-3</v>
      </c>
      <c r="BW30">
        <v>3.8657479332738424E-3</v>
      </c>
      <c r="BX30">
        <v>3.7941600085835856E-3</v>
      </c>
      <c r="BY30">
        <v>3.7251752811547937E-3</v>
      </c>
      <c r="BZ30">
        <v>3.6586542939913151E-3</v>
      </c>
      <c r="CA30">
        <v>3.594467376552871E-3</v>
      </c>
      <c r="CB30">
        <v>3.5324938010950629E-3</v>
      </c>
      <c r="CC30">
        <v>3.4726210248053162E-3</v>
      </c>
      <c r="CD30">
        <v>3.4147440077252275E-3</v>
      </c>
      <c r="CE30"/>
      <c r="CF30"/>
    </row>
    <row r="31" spans="1:84" x14ac:dyDescent="0.35">
      <c r="A31" s="19">
        <v>8.5</v>
      </c>
      <c r="B31" s="21">
        <f t="shared" ref="B31" si="26">2*Shift+2*(C31*A31-C30*A30)/(A31-A30)-B30</f>
        <v>-0.12890983584621157</v>
      </c>
      <c r="C31" s="20">
        <v>-1.0563881488339713E-3</v>
      </c>
      <c r="D31" s="19"/>
      <c r="E31" s="19"/>
      <c r="F31" s="19"/>
      <c r="G31" s="19"/>
      <c r="T31" t="s">
        <v>38</v>
      </c>
      <c r="U31" cm="1">
        <f t="array" ref="U31:CD31">U14:CD14</f>
        <v>0.99161357715831389</v>
      </c>
      <c r="V31">
        <v>0.97509876926433425</v>
      </c>
      <c r="W31">
        <v>0.95095958446905782</v>
      </c>
      <c r="X31">
        <v>0.90488136014839315</v>
      </c>
      <c r="Y31">
        <v>0.86159619238012308</v>
      </c>
      <c r="Z31">
        <v>0.82094019461277679</v>
      </c>
      <c r="AA31">
        <v>0.78275551088151896</v>
      </c>
      <c r="AB31">
        <v>0.74689086592250897</v>
      </c>
      <c r="AC31">
        <v>0.713201922005818</v>
      </c>
      <c r="AD31">
        <v>0.68155147697632157</v>
      </c>
      <c r="AE31">
        <v>0.65180953355740645</v>
      </c>
      <c r="AF31">
        <v>0.62385326581545875</v>
      </c>
      <c r="AG31">
        <v>0.59756690487276998</v>
      </c>
      <c r="AH31">
        <v>0.57284156252552731</v>
      </c>
      <c r="AI31">
        <v>0.54957500837922513</v>
      </c>
      <c r="AJ31">
        <v>0.52767141344588342</v>
      </c>
      <c r="AK31">
        <v>0.50704107083427752</v>
      </c>
      <c r="AL31">
        <v>0.48760010217776156</v>
      </c>
      <c r="AM31">
        <v>0.46927015675263772</v>
      </c>
      <c r="AN31">
        <v>0.45197810881095535</v>
      </c>
      <c r="AO31">
        <v>0.43565575745336554</v>
      </c>
      <c r="AP31">
        <v>0.42023953237019107</v>
      </c>
      <c r="AQ31">
        <v>0.40567020795451902</v>
      </c>
      <c r="AR31">
        <v>0.39189262761483917</v>
      </c>
      <c r="AS31">
        <v>0.37885543956421869</v>
      </c>
      <c r="AT31">
        <v>0.36651084491856961</v>
      </c>
      <c r="AU31">
        <v>0.35481435858111388</v>
      </c>
      <c r="AV31">
        <v>0.34372458310888737</v>
      </c>
      <c r="AW31">
        <v>0.33320299553736432</v>
      </c>
      <c r="AX31">
        <v>0.3232137469702327</v>
      </c>
      <c r="AY31">
        <v>0.31372347461385164</v>
      </c>
      <c r="AZ31">
        <v>0.3047011258422786</v>
      </c>
      <c r="BA31">
        <v>0.29611779381249953</v>
      </c>
      <c r="BB31">
        <v>0.2879465641052556</v>
      </c>
      <c r="BC31">
        <v>0.28016237184015402</v>
      </c>
      <c r="BD31">
        <v>0.27274186870087952</v>
      </c>
      <c r="BE31">
        <v>0.26566329930425814</v>
      </c>
      <c r="BF31">
        <v>0.25890638635315388</v>
      </c>
      <c r="BG31">
        <v>0.25245222402569018</v>
      </c>
      <c r="BH31">
        <v>0.24628317907041775</v>
      </c>
      <c r="BI31">
        <v>0.24038279909748603</v>
      </c>
      <c r="BJ31">
        <v>0.23473572757853717</v>
      </c>
      <c r="BK31">
        <v>0.22932762509210042</v>
      </c>
      <c r="BL31">
        <v>0.22414509637604305</v>
      </c>
      <c r="BM31">
        <v>0.21917562277361588</v>
      </c>
      <c r="BN31">
        <v>0.21440749968442152</v>
      </c>
      <c r="BO31">
        <v>0.20982977865592306</v>
      </c>
      <c r="BP31">
        <v>0.20543221377468185</v>
      </c>
      <c r="BQ31">
        <v>0.20120521203920327</v>
      </c>
      <c r="BR31">
        <v>0.19713978741796692</v>
      </c>
      <c r="BS31">
        <v>0.19322751831686014</v>
      </c>
      <c r="BT31">
        <v>0.18946050819977311</v>
      </c>
      <c r="BU31">
        <v>0.18583134912454785</v>
      </c>
      <c r="BV31">
        <v>0.18233308797379738</v>
      </c>
      <c r="BW31">
        <v>0.17895919517635525</v>
      </c>
      <c r="BX31">
        <v>0.1757035357303012</v>
      </c>
      <c r="BY31">
        <v>0.1725603423526807</v>
      </c>
      <c r="BZ31">
        <v>0.16952419059423657</v>
      </c>
      <c r="CA31">
        <v>0.16658997576974299</v>
      </c>
      <c r="CB31">
        <v>0.16375289156593259</v>
      </c>
      <c r="CC31">
        <v>0.16100841019957654</v>
      </c>
      <c r="CD31">
        <v>0.15835226400807365</v>
      </c>
      <c r="CE31"/>
      <c r="CF31"/>
    </row>
    <row r="32" spans="1:84" x14ac:dyDescent="0.35">
      <c r="A32" s="19">
        <v>9</v>
      </c>
      <c r="B32" s="21">
        <f t="shared" ref="B32" si="27">2*Shift+2*(C32*A32-C31*A31)/(A32-A31)-B31</f>
        <v>-0.12936821049123415</v>
      </c>
      <c r="C32" s="20">
        <v>-1.0823044998769654E-3</v>
      </c>
      <c r="D32" s="19"/>
      <c r="E32" s="19"/>
      <c r="F32" s="19"/>
      <c r="G32" s="19"/>
      <c r="T32" t="s">
        <v>39</v>
      </c>
      <c r="U32" cm="1">
        <f t="array" ref="U32:CD32">U19:CD19</f>
        <v>0.99999656871908893</v>
      </c>
      <c r="V32">
        <v>0.999973369181831</v>
      </c>
      <c r="W32">
        <v>0.99989773579080865</v>
      </c>
      <c r="X32">
        <v>0.99959958478252209</v>
      </c>
      <c r="Y32">
        <v>0.9991059663312627</v>
      </c>
      <c r="Z32">
        <v>0.99841757437062917</v>
      </c>
      <c r="AA32">
        <v>0.99753537494531686</v>
      </c>
      <c r="AB32">
        <v>0.99646060278775594</v>
      </c>
      <c r="AC32">
        <v>0.99519475696046755</v>
      </c>
      <c r="AD32">
        <v>0.99373959559272551</v>
      </c>
      <c r="AE32">
        <v>0.99209712974588171</v>
      </c>
      <c r="AF32">
        <v>0.99026961644705247</v>
      </c>
      <c r="AG32">
        <v>0.98825955093581008</v>
      </c>
      <c r="AH32">
        <v>0.98606965817302283</v>
      </c>
      <c r="AI32">
        <v>0.98370288366498171</v>
      </c>
      <c r="AJ32">
        <v>0.98116238365942021</v>
      </c>
      <c r="AK32">
        <v>0.9784515147729691</v>
      </c>
      <c r="AL32">
        <v>0.9755738231119313</v>
      </c>
      <c r="AM32">
        <v>0.97253303295006122</v>
      </c>
      <c r="AN32">
        <v>0.96933303502822299</v>
      </c>
      <c r="AO32">
        <v>0.96597787454145845</v>
      </c>
      <c r="AP32">
        <v>0.96247173887905846</v>
      </c>
      <c r="AQ32">
        <v>0.95881894518278998</v>
      </c>
      <c r="AR32">
        <v>0.95502392778744782</v>
      </c>
      <c r="AS32">
        <v>0.95109122560646642</v>
      </c>
      <c r="AT32">
        <v>0.9470254695234086</v>
      </c>
      <c r="AU32">
        <v>0.94283136984786253</v>
      </c>
      <c r="AV32">
        <v>0.93851370389159272</v>
      </c>
      <c r="AW32">
        <v>0.93407730371780295</v>
      </c>
      <c r="AX32">
        <v>0.92952704411309583</v>
      </c>
      <c r="AY32">
        <v>0.92486783082821666</v>
      </c>
      <c r="AZ32">
        <v>0.92010458912997639</v>
      </c>
      <c r="BA32">
        <v>0.91524225270293591</v>
      </c>
      <c r="BB32">
        <v>0.91028575293550329</v>
      </c>
      <c r="BC32">
        <v>0.90524000862114329</v>
      </c>
      <c r="BD32">
        <v>0.90010991610140167</v>
      </c>
      <c r="BE32">
        <v>0.89490033987351048</v>
      </c>
      <c r="BF32">
        <v>0.88961610368144273</v>
      </c>
      <c r="BG32">
        <v>0.88426198210548845</v>
      </c>
      <c r="BH32">
        <v>0.87884269266176018</v>
      </c>
      <c r="BI32">
        <v>0.87336288841949761</v>
      </c>
      <c r="BJ32">
        <v>0.86782715114069497</v>
      </c>
      <c r="BK32">
        <v>0.86223998494340093</v>
      </c>
      <c r="BL32">
        <v>0.85660581048706941</v>
      </c>
      <c r="BM32">
        <v>0.85092895967558901</v>
      </c>
      <c r="BN32">
        <v>0.84521367087107635</v>
      </c>
      <c r="BO32">
        <v>0.83946408460921385</v>
      </c>
      <c r="BP32">
        <v>0.8336842398048262</v>
      </c>
      <c r="BQ32">
        <v>0.82787807043453365</v>
      </c>
      <c r="BR32">
        <v>0.82204940268168969</v>
      </c>
      <c r="BS32">
        <v>0.81620195252739969</v>
      </c>
      <c r="BT32">
        <v>0.81033932377021767</v>
      </c>
      <c r="BU32">
        <v>0.80446500645612617</v>
      </c>
      <c r="BV32">
        <v>0.798582375699606</v>
      </c>
      <c r="BW32">
        <v>0.7926946908759922</v>
      </c>
      <c r="BX32">
        <v>0.78680509516487684</v>
      </c>
      <c r="BY32">
        <v>0.78091661542403845</v>
      </c>
      <c r="BZ32">
        <v>0.77503216237326256</v>
      </c>
      <c r="CA32">
        <v>0.76915453106742249</v>
      </c>
      <c r="CB32">
        <v>0.76328640163833472</v>
      </c>
      <c r="CC32">
        <v>0.75743034028514777</v>
      </c>
      <c r="CD32">
        <v>0.75158880049338539</v>
      </c>
      <c r="CE32"/>
      <c r="CF32"/>
    </row>
    <row r="33" spans="1:84" x14ac:dyDescent="0.35">
      <c r="A33" s="19">
        <v>9.5</v>
      </c>
      <c r="B33" s="21">
        <f t="shared" ref="B33:B35" si="28">2*Shift+2*(C33*A33-C32*A32)/(A33-A32)-B32</f>
        <v>-0.12847159908374345</v>
      </c>
      <c r="C33" s="20">
        <v>-1.0939602675873253E-3</v>
      </c>
      <c r="D33" s="19"/>
      <c r="E33" s="19"/>
      <c r="F33" s="19"/>
      <c r="G33" s="19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</row>
    <row r="34" spans="1:84" x14ac:dyDescent="0.35">
      <c r="A34" s="19">
        <v>10</v>
      </c>
      <c r="B34" s="21">
        <f t="shared" si="28"/>
        <v>-0.12886039625830809</v>
      </c>
      <c r="C34" s="20">
        <v>-1.0917551027034983E-3</v>
      </c>
      <c r="D34" s="19"/>
      <c r="E34" s="19"/>
      <c r="F34" s="19"/>
      <c r="G34" s="19"/>
      <c r="T34" t="s">
        <v>40</v>
      </c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</row>
    <row r="35" spans="1:84" x14ac:dyDescent="0.35">
      <c r="A35" s="19">
        <v>10.5</v>
      </c>
      <c r="B35" s="21">
        <f t="shared" si="28"/>
        <v>-0.12849870493959326</v>
      </c>
      <c r="C35" s="20">
        <v>-1.0904053310431261E-3</v>
      </c>
      <c r="D35" s="19"/>
      <c r="E35" s="19"/>
      <c r="F35" s="19"/>
      <c r="G35" s="19"/>
      <c r="S35" s="1" t="str">
        <f>IF(MIN(U35:U37)&gt;0,"No Negative State Variables!","Negative")</f>
        <v>No Negative State Variables!</v>
      </c>
      <c r="T35" t="s">
        <v>39</v>
      </c>
      <c r="U35" s="23" cm="1">
        <f t="array" ref="U35:U38">TRANSPOSE(LINEST(_xlfn.ANCHORARRAY(U27),U30:CD32,FALSE))</f>
        <v>4.5634853117422478E-2</v>
      </c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</row>
    <row r="36" spans="1:84" x14ac:dyDescent="0.35">
      <c r="A36" s="19">
        <v>11</v>
      </c>
      <c r="B36" s="21">
        <f t="shared" ref="B36:B74" si="29">2*Shift+2*(C36*A36-C35*A35)/(A36-A35)-B35</f>
        <v>-0.12828094347750374</v>
      </c>
      <c r="C36" s="20">
        <v>-1.0760088845154156E-3</v>
      </c>
      <c r="D36" s="19"/>
      <c r="E36" s="19"/>
      <c r="F36" s="19"/>
      <c r="G36" s="19"/>
      <c r="S36" s="1"/>
      <c r="T36" t="s">
        <v>38</v>
      </c>
      <c r="U36" s="23">
        <v>6.9480242209062751E-2</v>
      </c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</row>
    <row r="37" spans="1:84" x14ac:dyDescent="0.35">
      <c r="A37" s="19">
        <v>11.5</v>
      </c>
      <c r="B37" s="21">
        <f t="shared" si="29"/>
        <v>-0.12785702434900198</v>
      </c>
      <c r="C37" s="20">
        <v>-1.0489147248468264E-3</v>
      </c>
      <c r="D37" s="19"/>
      <c r="E37" s="19"/>
      <c r="F37" s="19"/>
      <c r="G37" s="19"/>
      <c r="S37" s="1"/>
      <c r="T37" t="s">
        <v>37</v>
      </c>
      <c r="U37" s="23">
        <v>6.1486958905380133E-2</v>
      </c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</row>
    <row r="38" spans="1:84" x14ac:dyDescent="0.35">
      <c r="A38" s="19">
        <v>12</v>
      </c>
      <c r="B38" s="21">
        <f t="shared" si="29"/>
        <v>-0.12757882438209767</v>
      </c>
      <c r="C38" s="20">
        <v>-1.0094509306629931E-3</v>
      </c>
      <c r="D38" s="19"/>
      <c r="E38" s="19"/>
      <c r="F38" s="19"/>
      <c r="G38" s="19"/>
      <c r="T38"/>
      <c r="U38">
        <v>0</v>
      </c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</row>
    <row r="39" spans="1:84" x14ac:dyDescent="0.35">
      <c r="A39" s="19">
        <v>12.5</v>
      </c>
      <c r="B39" s="21">
        <f t="shared" si="29"/>
        <v>-0.12709613642690598</v>
      </c>
      <c r="C39" s="20">
        <v>-9.5792648157194682E-4</v>
      </c>
      <c r="D39" s="19"/>
      <c r="E39" s="19"/>
      <c r="F39" s="19"/>
      <c r="G39" s="1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</row>
    <row r="40" spans="1:84" x14ac:dyDescent="0.35">
      <c r="A40" s="19">
        <v>13</v>
      </c>
      <c r="B40" s="21">
        <f t="shared" si="29"/>
        <v>-0.12676073029261831</v>
      </c>
      <c r="C40" s="20">
        <v>-8.9463287299791638E-4</v>
      </c>
      <c r="D40" s="19"/>
      <c r="E40" s="19"/>
      <c r="F40" s="19"/>
      <c r="G40" s="19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</row>
    <row r="41" spans="1:84" x14ac:dyDescent="0.35">
      <c r="A41" s="19">
        <v>13.5</v>
      </c>
      <c r="B41" s="21">
        <f t="shared" si="29"/>
        <v>-0.12622230234997139</v>
      </c>
      <c r="C41" s="20">
        <v>-8.1984556733798869E-4</v>
      </c>
      <c r="D41" s="19"/>
      <c r="E41" s="19"/>
      <c r="F41" s="19"/>
      <c r="G41" s="19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</row>
    <row r="42" spans="1:84" x14ac:dyDescent="0.35">
      <c r="A42" s="19">
        <v>14</v>
      </c>
      <c r="B42" s="21">
        <f t="shared" si="29"/>
        <v>-0.12583253140548162</v>
      </c>
      <c r="C42" s="20">
        <v>-7.3382523195490018E-4</v>
      </c>
      <c r="D42" s="19"/>
      <c r="E42" s="19"/>
      <c r="F42" s="19"/>
      <c r="G42" s="19"/>
      <c r="T42" s="4" t="s">
        <v>41</v>
      </c>
      <c r="U42" s="24"/>
      <c r="V42" s="24" t="s">
        <v>42</v>
      </c>
      <c r="W42" s="24"/>
      <c r="X42" s="24"/>
      <c r="Y42" s="25"/>
      <c r="Z42" s="24"/>
      <c r="AA42" s="24"/>
      <c r="AB42" s="26"/>
      <c r="AC42" s="27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</row>
    <row r="43" spans="1:84" x14ac:dyDescent="0.35">
      <c r="A43" s="19">
        <v>14.5</v>
      </c>
      <c r="B43" s="21">
        <f t="shared" si="29"/>
        <v>-0.12524102858380098</v>
      </c>
      <c r="C43" s="20">
        <v>-6.3681882028494841E-4</v>
      </c>
      <c r="D43" s="19"/>
      <c r="E43" s="19"/>
      <c r="F43" s="19"/>
      <c r="G43" s="19"/>
      <c r="T43" s="24"/>
      <c r="U43" s="28" t="s">
        <v>12</v>
      </c>
      <c r="V43" s="28"/>
      <c r="W43" s="29"/>
      <c r="X43" s="28" t="s">
        <v>43</v>
      </c>
      <c r="Y43" s="30"/>
      <c r="Z43" s="24"/>
      <c r="AA43" s="24"/>
      <c r="AB43" s="26"/>
      <c r="AC43" s="27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</row>
    <row r="44" spans="1:84" ht="39" x14ac:dyDescent="0.35">
      <c r="A44" s="19">
        <v>15</v>
      </c>
      <c r="B44" s="21">
        <f t="shared" si="29"/>
        <v>-0.12479938703483134</v>
      </c>
      <c r="C44" s="20">
        <v>-5.2906042988215551E-4</v>
      </c>
      <c r="D44" s="19"/>
      <c r="E44" s="19"/>
      <c r="F44" s="19"/>
      <c r="G44" s="19"/>
      <c r="T44" s="31"/>
      <c r="U44" s="32" t="s">
        <v>44</v>
      </c>
      <c r="V44" s="33" t="s">
        <v>45</v>
      </c>
      <c r="W44" s="24"/>
      <c r="X44" s="34" t="s">
        <v>46</v>
      </c>
      <c r="Y44" s="35" t="s">
        <v>47</v>
      </c>
      <c r="Z44" s="34" t="s">
        <v>48</v>
      </c>
      <c r="AA44" s="34" t="s">
        <v>49</v>
      </c>
      <c r="AB44" s="36" t="s">
        <v>50</v>
      </c>
      <c r="AC44" s="37" t="s">
        <v>51</v>
      </c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</row>
    <row r="45" spans="1:84" x14ac:dyDescent="0.35">
      <c r="A45" s="19">
        <v>15.5</v>
      </c>
      <c r="B45" s="21">
        <f t="shared" si="29"/>
        <v>-0.12415713356784963</v>
      </c>
      <c r="C45" s="20">
        <v>-4.107720160222636E-4</v>
      </c>
      <c r="D45" s="19"/>
      <c r="E45" s="19"/>
      <c r="F45" s="19"/>
      <c r="G45" s="19"/>
      <c r="T45" s="24"/>
      <c r="U45" s="38" t="s">
        <v>52</v>
      </c>
      <c r="V45" s="24">
        <f>'Tsy Recalibration'!M5</f>
        <v>4.3799999999999999E-2</v>
      </c>
      <c r="W45" s="24"/>
      <c r="X45" s="39">
        <f>1/12</f>
        <v>8.3333333333333329E-2</v>
      </c>
      <c r="Y45" s="40">
        <f>V45</f>
        <v>4.3799999999999999E-2</v>
      </c>
      <c r="Z45" s="38"/>
      <c r="AA45" s="38"/>
      <c r="AB45" s="41">
        <f>Y45</f>
        <v>4.3799999999999999E-2</v>
      </c>
      <c r="AC45" s="42">
        <f>LN((1+AB45/2)/(1+AB45*5/12))*12</f>
        <v>4.2938065075694858E-2</v>
      </c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</row>
    <row r="46" spans="1:84" x14ac:dyDescent="0.35">
      <c r="A46" s="19">
        <v>16</v>
      </c>
      <c r="B46" s="21">
        <f t="shared" si="29"/>
        <v>-0.12366577749897273</v>
      </c>
      <c r="C46" s="20">
        <v>-2.8216397903082363E-4</v>
      </c>
      <c r="D46" s="19"/>
      <c r="E46" s="19"/>
      <c r="F46" s="19"/>
      <c r="G46" s="19"/>
      <c r="T46" s="24"/>
      <c r="U46" s="38" t="s">
        <v>53</v>
      </c>
      <c r="V46" s="24">
        <f>'Tsy Recalibration'!M6</f>
        <v>4.3200000000000002E-2</v>
      </c>
      <c r="W46" s="24"/>
      <c r="X46" s="39">
        <v>0.25</v>
      </c>
      <c r="Y46" s="40">
        <f>V46</f>
        <v>4.3200000000000002E-2</v>
      </c>
      <c r="Z46" s="38"/>
      <c r="AA46" s="38"/>
      <c r="AB46" s="41">
        <f>Y46</f>
        <v>4.3200000000000002E-2</v>
      </c>
      <c r="AC46" s="42">
        <f>LN((1+AB46/2)/(1+AB46/4))*4</f>
        <v>4.2511716817162225E-2</v>
      </c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</row>
    <row r="47" spans="1:84" x14ac:dyDescent="0.35">
      <c r="A47" s="19">
        <v>16.5</v>
      </c>
      <c r="B47" s="21">
        <f t="shared" si="29"/>
        <v>-0.12297475637097394</v>
      </c>
      <c r="C47" s="20">
        <v>-1.4343556251044526E-4</v>
      </c>
      <c r="D47" s="19"/>
      <c r="E47" s="19"/>
      <c r="F47" s="19"/>
      <c r="G47" s="19"/>
      <c r="T47" s="24"/>
      <c r="U47" s="43" t="s">
        <v>54</v>
      </c>
      <c r="V47" s="24">
        <f>'Tsy Recalibration'!M7</f>
        <v>4.2500000000000003E-2</v>
      </c>
      <c r="W47" s="24"/>
      <c r="X47" s="44">
        <v>0.5</v>
      </c>
      <c r="Y47" s="45">
        <f>V47</f>
        <v>4.2500000000000003E-2</v>
      </c>
      <c r="Z47" s="43">
        <f>(1+Y47/2)^(-1)</f>
        <v>0.97919216646266827</v>
      </c>
      <c r="AA47" s="43">
        <f>Z47</f>
        <v>0.97919216646266827</v>
      </c>
      <c r="AB47" s="46">
        <f>Y47</f>
        <v>4.2500000000000003E-2</v>
      </c>
      <c r="AC47" s="42">
        <f>LN(1+AB47/2)*2</f>
        <v>4.2054734384151159E-2</v>
      </c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</row>
    <row r="48" spans="1:84" x14ac:dyDescent="0.35">
      <c r="A48" s="19">
        <v>17</v>
      </c>
      <c r="B48" s="21">
        <f t="shared" si="29"/>
        <v>-0.1224354894126754</v>
      </c>
      <c r="C48" s="20">
        <v>5.2248307778127168E-6</v>
      </c>
      <c r="D48" s="19"/>
      <c r="E48" s="19"/>
      <c r="F48" s="19"/>
      <c r="G48" s="19"/>
      <c r="T48" s="24"/>
      <c r="U48" s="43" t="s">
        <v>55</v>
      </c>
      <c r="V48" s="24">
        <f>'Tsy Recalibration'!M8</f>
        <v>4.0800000000000003E-2</v>
      </c>
      <c r="W48" s="24"/>
      <c r="X48" s="44">
        <v>1</v>
      </c>
      <c r="Y48" s="45">
        <f>V48</f>
        <v>4.0800000000000003E-2</v>
      </c>
      <c r="Z48" s="43">
        <f t="shared" ref="Z48:Z106" si="30">(1-(Y48/2)*AA47)/(1+Y48/2)</f>
        <v>0.96043167366146764</v>
      </c>
      <c r="AA48" s="43">
        <f t="shared" ref="AA48:AA106" si="31">AA47+Z48</f>
        <v>1.9396238401241359</v>
      </c>
      <c r="AB48" s="46">
        <f>(Z48)^(-1/X48)-1</f>
        <v>4.1198481290902755E-2</v>
      </c>
      <c r="AC48" s="42">
        <f t="shared" ref="AC48:AC106" si="32">LN(1+AB48)</f>
        <v>4.0372435523016968E-2</v>
      </c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</row>
    <row r="49" spans="1:84" x14ac:dyDescent="0.35">
      <c r="A49" s="19">
        <v>17.5</v>
      </c>
      <c r="B49" s="21">
        <f t="shared" si="29"/>
        <v>-0.12169732010344431</v>
      </c>
      <c r="C49" s="20">
        <v>1.6363943398573638E-4</v>
      </c>
      <c r="D49" s="19"/>
      <c r="E49" s="19"/>
      <c r="F49" s="19"/>
      <c r="G49" s="19"/>
      <c r="T49" s="24"/>
      <c r="U49" s="43" t="s">
        <v>56</v>
      </c>
      <c r="V49" s="24">
        <f>'Tsy Recalibration'!M9</f>
        <v>3.9900000000000005E-2</v>
      </c>
      <c r="W49" s="24"/>
      <c r="X49" s="44">
        <f t="shared" ref="X49:X106" si="33">X48+0.5</f>
        <v>1.5</v>
      </c>
      <c r="Y49" s="45">
        <f>(Y48+Y50)/2</f>
        <v>4.0350000000000004E-2</v>
      </c>
      <c r="Z49" s="43">
        <f t="shared" si="30"/>
        <v>0.94186594361310116</v>
      </c>
      <c r="AA49" s="43">
        <f t="shared" si="31"/>
        <v>2.8814897837372371</v>
      </c>
      <c r="AB49" s="46">
        <f>(Z49)^(-1/X49)-1</f>
        <v>4.0736063953275448E-2</v>
      </c>
      <c r="AC49" s="42">
        <f t="shared" si="32"/>
        <v>3.9928216614898357E-2</v>
      </c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</row>
    <row r="50" spans="1:84" x14ac:dyDescent="0.35">
      <c r="A50" s="19">
        <v>18</v>
      </c>
      <c r="B50" s="21">
        <f t="shared" si="29"/>
        <v>-0.12111156664065464</v>
      </c>
      <c r="C50" s="20">
        <v>3.3164104218239704E-4</v>
      </c>
      <c r="D50" s="19"/>
      <c r="E50" s="19"/>
      <c r="F50" s="19"/>
      <c r="G50" s="19"/>
      <c r="T50" s="24"/>
      <c r="U50" s="43" t="s">
        <v>57</v>
      </c>
      <c r="V50" s="24">
        <f>'Tsy Recalibration'!M10</f>
        <v>3.9900000000000005E-2</v>
      </c>
      <c r="W50" s="24"/>
      <c r="X50" s="44">
        <f t="shared" si="33"/>
        <v>2</v>
      </c>
      <c r="Y50" s="45">
        <f>V49</f>
        <v>3.9900000000000005E-2</v>
      </c>
      <c r="Z50" s="43">
        <f t="shared" si="30"/>
        <v>0.92407890466634857</v>
      </c>
      <c r="AA50" s="43">
        <f t="shared" si="31"/>
        <v>3.8055686884035858</v>
      </c>
      <c r="AB50" s="46">
        <f t="shared" ref="AB50:AB106" si="34">((Z50)^(-1))^(1/X50)-1</f>
        <v>4.0268557478621902E-2</v>
      </c>
      <c r="AC50" s="42">
        <f t="shared" si="32"/>
        <v>3.9478908162909616E-2</v>
      </c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</row>
    <row r="51" spans="1:84" x14ac:dyDescent="0.35">
      <c r="A51" s="19">
        <v>18.5</v>
      </c>
      <c r="B51" s="21">
        <f t="shared" si="29"/>
        <v>-0.12032746944969328</v>
      </c>
      <c r="C51" s="20">
        <v>5.0907297768938709E-4</v>
      </c>
      <c r="D51" s="19"/>
      <c r="E51" s="19"/>
      <c r="F51" s="19"/>
      <c r="G51" s="19"/>
      <c r="T51" s="24"/>
      <c r="U51" s="43" t="s">
        <v>58</v>
      </c>
      <c r="V51" s="24">
        <f>'Tsy Recalibration'!M11</f>
        <v>4.0300000000000002E-2</v>
      </c>
      <c r="W51" s="24"/>
      <c r="X51" s="44">
        <f t="shared" si="33"/>
        <v>2.5</v>
      </c>
      <c r="Y51" s="45">
        <f>(Y50+Y52)/2</f>
        <v>3.9900000000000005E-2</v>
      </c>
      <c r="Z51" s="43">
        <f t="shared" si="30"/>
        <v>0.90600412242398998</v>
      </c>
      <c r="AA51" s="43">
        <f t="shared" si="31"/>
        <v>4.7115728108275761</v>
      </c>
      <c r="AB51" s="46">
        <f t="shared" si="34"/>
        <v>4.0274446416222798E-2</v>
      </c>
      <c r="AC51" s="42">
        <f t="shared" si="32"/>
        <v>3.948456912506218E-2</v>
      </c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</row>
    <row r="52" spans="1:84" x14ac:dyDescent="0.35">
      <c r="A52" s="19">
        <v>19</v>
      </c>
      <c r="B52" s="21">
        <f t="shared" si="29"/>
        <v>-0.11969623623291617</v>
      </c>
      <c r="C52" s="20">
        <v>6.9578915879783126E-4</v>
      </c>
      <c r="D52" s="19"/>
      <c r="E52" s="19"/>
      <c r="F52" s="19"/>
      <c r="G52" s="19"/>
      <c r="T52" s="24"/>
      <c r="U52" s="43" t="s">
        <v>59</v>
      </c>
      <c r="V52" s="24">
        <f>'Tsy Recalibration'!M12</f>
        <v>4.1399999999999999E-2</v>
      </c>
      <c r="W52" s="24"/>
      <c r="X52" s="44">
        <f t="shared" si="33"/>
        <v>3</v>
      </c>
      <c r="Y52" s="45">
        <f>V50</f>
        <v>3.9900000000000005E-2</v>
      </c>
      <c r="Z52" s="43">
        <f t="shared" si="30"/>
        <v>0.88828287898817582</v>
      </c>
      <c r="AA52" s="43">
        <f t="shared" si="31"/>
        <v>5.5998556898157519</v>
      </c>
      <c r="AB52" s="46">
        <f t="shared" si="34"/>
        <v>4.0278372393144135E-2</v>
      </c>
      <c r="AC52" s="42">
        <f t="shared" si="32"/>
        <v>3.948834309983066E-2</v>
      </c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</row>
    <row r="53" spans="1:84" x14ac:dyDescent="0.35">
      <c r="A53" s="19">
        <v>19.5</v>
      </c>
      <c r="B53" s="21">
        <f t="shared" si="29"/>
        <v>-0.1188669901954334</v>
      </c>
      <c r="C53" s="20">
        <v>8.916542441348152E-4</v>
      </c>
      <c r="D53" s="19"/>
      <c r="E53" s="19"/>
      <c r="F53" s="19"/>
      <c r="G53" s="19"/>
      <c r="T53" s="24"/>
      <c r="U53" s="43" t="s">
        <v>60</v>
      </c>
      <c r="V53" s="24">
        <f>'Tsy Recalibration'!M13</f>
        <v>4.24E-2</v>
      </c>
      <c r="W53" s="24"/>
      <c r="X53" s="44">
        <f t="shared" si="33"/>
        <v>3.5</v>
      </c>
      <c r="Y53" s="45">
        <f>(Y52+Y54)/2</f>
        <v>4.0000000000000008E-2</v>
      </c>
      <c r="Z53" s="43">
        <f t="shared" si="30"/>
        <v>0.87059106490557348</v>
      </c>
      <c r="AA53" s="43">
        <f t="shared" si="31"/>
        <v>6.4704467547213254</v>
      </c>
      <c r="AB53" s="46">
        <f t="shared" si="34"/>
        <v>4.0389453961205524E-2</v>
      </c>
      <c r="AC53" s="42">
        <f t="shared" si="32"/>
        <v>3.9595118017729553E-2</v>
      </c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</row>
    <row r="54" spans="1:84" x14ac:dyDescent="0.35">
      <c r="A54" s="19">
        <v>20</v>
      </c>
      <c r="B54" s="21">
        <f t="shared" si="29"/>
        <v>-0.11819081576805013</v>
      </c>
      <c r="C54" s="20">
        <v>1.0965438310157755E-3</v>
      </c>
      <c r="D54" s="19"/>
      <c r="E54" s="19"/>
      <c r="F54" s="19"/>
      <c r="G54" s="19"/>
      <c r="T54" s="24"/>
      <c r="U54" s="43" t="s">
        <v>61</v>
      </c>
      <c r="V54" s="24">
        <f>'Tsy Recalibration'!M14</f>
        <v>4.5499999999999999E-2</v>
      </c>
      <c r="W54" s="24"/>
      <c r="X54" s="44">
        <f t="shared" si="33"/>
        <v>4</v>
      </c>
      <c r="Y54" s="45">
        <f>(Y52+Y56)/2</f>
        <v>4.0100000000000004E-2</v>
      </c>
      <c r="Z54" s="43">
        <f t="shared" si="30"/>
        <v>0.85316165145614187</v>
      </c>
      <c r="AA54" s="43">
        <f t="shared" si="31"/>
        <v>7.3236084061774669</v>
      </c>
      <c r="AB54" s="46">
        <f t="shared" si="34"/>
        <v>4.050020100163132E-2</v>
      </c>
      <c r="AC54" s="42">
        <f t="shared" si="32"/>
        <v>3.9701560029458745E-2</v>
      </c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</row>
    <row r="55" spans="1:84" x14ac:dyDescent="0.35">
      <c r="A55" s="19">
        <v>20.5</v>
      </c>
      <c r="B55" s="21">
        <f t="shared" si="29"/>
        <v>-0.14108547953634176</v>
      </c>
      <c r="C55" s="20">
        <v>1.0204816168182945E-3</v>
      </c>
      <c r="D55" s="19"/>
      <c r="E55" s="19"/>
      <c r="F55" s="19"/>
      <c r="G55" s="19"/>
      <c r="T55" s="24"/>
      <c r="U55" s="43" t="s">
        <v>62</v>
      </c>
      <c r="V55" s="24">
        <f>'Tsy Recalibration'!M15</f>
        <v>4.5100000000000001E-2</v>
      </c>
      <c r="W55" s="24"/>
      <c r="X55" s="44">
        <f t="shared" si="33"/>
        <v>4.5</v>
      </c>
      <c r="Y55" s="45">
        <f>(Y54+Y56)/2</f>
        <v>4.02E-2</v>
      </c>
      <c r="Z55" s="43">
        <f t="shared" si="30"/>
        <v>0.83599203120854126</v>
      </c>
      <c r="AA55" s="43">
        <f t="shared" si="31"/>
        <v>8.1596004373860076</v>
      </c>
      <c r="AB55" s="46">
        <f t="shared" si="34"/>
        <v>4.0611003491325404E-2</v>
      </c>
      <c r="AC55" s="42">
        <f t="shared" si="32"/>
        <v>3.980804399779217E-2</v>
      </c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</row>
    <row r="56" spans="1:84" x14ac:dyDescent="0.35">
      <c r="A56" s="19">
        <v>21</v>
      </c>
      <c r="B56" s="21">
        <f t="shared" si="29"/>
        <v>-0.1179341366684184</v>
      </c>
      <c r="C56" s="20">
        <v>9.510971163877377E-4</v>
      </c>
      <c r="D56" s="19"/>
      <c r="E56" s="19"/>
      <c r="F56" s="19"/>
      <c r="G56" s="19"/>
      <c r="T56" s="24"/>
      <c r="U56" s="24"/>
      <c r="V56" s="24"/>
      <c r="W56" s="47">
        <v>1</v>
      </c>
      <c r="X56" s="44">
        <f t="shared" si="33"/>
        <v>5</v>
      </c>
      <c r="Y56" s="45">
        <f>V51</f>
        <v>4.0300000000000002E-2</v>
      </c>
      <c r="Z56" s="43">
        <f t="shared" si="30"/>
        <v>0.81907959730105551</v>
      </c>
      <c r="AA56" s="43">
        <f t="shared" si="31"/>
        <v>8.9786800346870628</v>
      </c>
      <c r="AB56" s="46">
        <f t="shared" si="34"/>
        <v>4.0722103275170562E-2</v>
      </c>
      <c r="AC56" s="42">
        <f t="shared" si="32"/>
        <v>3.9914802289955489E-2</v>
      </c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</row>
    <row r="57" spans="1:84" x14ac:dyDescent="0.35">
      <c r="A57" s="19">
        <v>21.5</v>
      </c>
      <c r="B57" s="21">
        <f t="shared" si="29"/>
        <v>-0.14081790287083568</v>
      </c>
      <c r="C57" s="20">
        <v>8.8805115859937056E-4</v>
      </c>
      <c r="D57" s="19"/>
      <c r="E57" s="19"/>
      <c r="F57" s="19"/>
      <c r="G57" s="19"/>
      <c r="T57" s="24"/>
      <c r="U57" s="24"/>
      <c r="V57" s="24"/>
      <c r="W57" s="47"/>
      <c r="X57" s="44">
        <f t="shared" si="33"/>
        <v>5.5</v>
      </c>
      <c r="Y57" s="45">
        <f>(Y56+Y58)/2</f>
        <v>4.0575E-2</v>
      </c>
      <c r="Z57" s="43">
        <f t="shared" si="30"/>
        <v>0.80158291540010651</v>
      </c>
      <c r="AA57" s="43">
        <f t="shared" si="31"/>
        <v>9.7802629500871685</v>
      </c>
      <c r="AB57" s="46">
        <f t="shared" si="34"/>
        <v>4.1031612625734626E-2</v>
      </c>
      <c r="AC57" s="42">
        <f t="shared" si="32"/>
        <v>4.0212156727687985E-2</v>
      </c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</row>
    <row r="58" spans="1:84" x14ac:dyDescent="0.35">
      <c r="A58" s="19">
        <v>22</v>
      </c>
      <c r="B58" s="21">
        <f t="shared" si="29"/>
        <v>-0.11765702331846889</v>
      </c>
      <c r="C58" s="20">
        <v>8.3101994150535513E-4</v>
      </c>
      <c r="D58" s="19"/>
      <c r="E58" s="19"/>
      <c r="F58" s="19"/>
      <c r="G58" s="19"/>
      <c r="T58" s="24"/>
      <c r="U58" s="24"/>
      <c r="V58" s="24"/>
      <c r="W58" s="24"/>
      <c r="X58" s="44">
        <f t="shared" si="33"/>
        <v>6</v>
      </c>
      <c r="Y58" s="45">
        <f>(Y56+Y60)/2</f>
        <v>4.0849999999999997E-2</v>
      </c>
      <c r="Z58" s="43">
        <f t="shared" si="30"/>
        <v>0.78422042702253436</v>
      </c>
      <c r="AA58" s="43">
        <f t="shared" si="31"/>
        <v>10.564483377109703</v>
      </c>
      <c r="AB58" s="46">
        <f t="shared" si="34"/>
        <v>4.1342615364703184E-2</v>
      </c>
      <c r="AC58" s="42">
        <f t="shared" si="32"/>
        <v>4.0510856872071767E-2</v>
      </c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</row>
    <row r="59" spans="1:84" x14ac:dyDescent="0.35">
      <c r="A59" s="19">
        <v>22.5</v>
      </c>
      <c r="B59" s="21">
        <f t="shared" si="29"/>
        <v>-0.14053256407869202</v>
      </c>
      <c r="C59" s="20">
        <v>7.7969387619489239E-4</v>
      </c>
      <c r="D59" s="19"/>
      <c r="E59" s="19"/>
      <c r="F59" s="19"/>
      <c r="G59" s="19"/>
      <c r="T59" s="24"/>
      <c r="U59" s="24"/>
      <c r="V59" s="24"/>
      <c r="W59" s="24"/>
      <c r="X59" s="44">
        <f t="shared" si="33"/>
        <v>6.5</v>
      </c>
      <c r="Y59" s="45">
        <f>(Y58+Y60)/2</f>
        <v>4.1124999999999995E-2</v>
      </c>
      <c r="Z59" s="43">
        <f t="shared" si="30"/>
        <v>0.76699644613454032</v>
      </c>
      <c r="AA59" s="43">
        <f t="shared" si="31"/>
        <v>11.331479823244242</v>
      </c>
      <c r="AB59" s="46">
        <f t="shared" si="34"/>
        <v>4.1655472288692152E-2</v>
      </c>
      <c r="AC59" s="42">
        <f t="shared" si="32"/>
        <v>4.0811247859654447E-2</v>
      </c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</row>
    <row r="60" spans="1:84" x14ac:dyDescent="0.35">
      <c r="A60" s="19">
        <v>23</v>
      </c>
      <c r="B60" s="21">
        <f t="shared" si="29"/>
        <v>-0.1173647204084512</v>
      </c>
      <c r="C60" s="20">
        <v>7.3377658448507688E-4</v>
      </c>
      <c r="D60" s="19"/>
      <c r="E60" s="19"/>
      <c r="F60" s="19"/>
      <c r="G60" s="19"/>
      <c r="T60" s="24"/>
      <c r="U60" s="24"/>
      <c r="V60" s="24"/>
      <c r="W60" s="24"/>
      <c r="X60" s="44">
        <f t="shared" si="33"/>
        <v>7</v>
      </c>
      <c r="Y60" s="45">
        <f>V52</f>
        <v>4.1399999999999999E-2</v>
      </c>
      <c r="Z60" s="43">
        <f t="shared" si="30"/>
        <v>0.74991512458003751</v>
      </c>
      <c r="AA60" s="43">
        <f t="shared" si="31"/>
        <v>12.081394947824279</v>
      </c>
      <c r="AB60" s="46">
        <f t="shared" si="34"/>
        <v>4.1970473526937724E-2</v>
      </c>
      <c r="AC60" s="42">
        <f t="shared" si="32"/>
        <v>4.1113606583184421E-2</v>
      </c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</row>
    <row r="61" spans="1:84" x14ac:dyDescent="0.35">
      <c r="A61" s="19">
        <v>23.5</v>
      </c>
      <c r="B61" s="21">
        <f t="shared" si="29"/>
        <v>-0.14023450805877297</v>
      </c>
      <c r="C61" s="20">
        <v>6.9298402880460519E-4</v>
      </c>
      <c r="D61" s="19"/>
      <c r="E61" s="19"/>
      <c r="F61" s="19"/>
      <c r="G61" s="19"/>
      <c r="T61" s="24"/>
      <c r="U61" s="24"/>
      <c r="V61" s="24"/>
      <c r="W61" s="24"/>
      <c r="X61" s="44">
        <f t="shared" si="33"/>
        <v>7.5</v>
      </c>
      <c r="Y61" s="45">
        <f>(Y60+Y62)/2</f>
        <v>4.1566666666666668E-2</v>
      </c>
      <c r="Z61" s="43">
        <f t="shared" si="30"/>
        <v>0.73366043234873735</v>
      </c>
      <c r="AA61" s="43">
        <f t="shared" si="31"/>
        <v>12.815055380173016</v>
      </c>
      <c r="AB61" s="46">
        <f t="shared" si="34"/>
        <v>4.215900864038602E-2</v>
      </c>
      <c r="AC61" s="42">
        <f t="shared" si="32"/>
        <v>4.129453115200394E-2</v>
      </c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</row>
    <row r="62" spans="1:84" x14ac:dyDescent="0.35">
      <c r="A62" s="19">
        <v>24</v>
      </c>
      <c r="B62" s="21">
        <f t="shared" si="29"/>
        <v>-0.11706207269099445</v>
      </c>
      <c r="C62" s="20">
        <v>6.5704374333432763E-4</v>
      </c>
      <c r="D62" s="19"/>
      <c r="E62" s="19"/>
      <c r="F62" s="19"/>
      <c r="G62" s="19"/>
      <c r="T62" s="24"/>
      <c r="U62" s="24"/>
      <c r="V62" s="24"/>
      <c r="W62" s="24"/>
      <c r="X62" s="44">
        <f t="shared" si="33"/>
        <v>8</v>
      </c>
      <c r="Y62" s="45">
        <f>Y60+(Y66-Y60)/3</f>
        <v>4.1733333333333331E-2</v>
      </c>
      <c r="Z62" s="43">
        <f t="shared" si="30"/>
        <v>0.71761821106287771</v>
      </c>
      <c r="AA62" s="43">
        <f t="shared" si="31"/>
        <v>13.532673591235893</v>
      </c>
      <c r="AB62" s="46">
        <f t="shared" si="34"/>
        <v>4.2349394818769204E-2</v>
      </c>
      <c r="AC62" s="42">
        <f t="shared" si="32"/>
        <v>4.1477198853027968E-2</v>
      </c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</row>
    <row r="63" spans="1:84" x14ac:dyDescent="0.35">
      <c r="A63" s="19">
        <v>24.5</v>
      </c>
      <c r="B63" s="21">
        <f t="shared" si="29"/>
        <v>-0.13992837902979655</v>
      </c>
      <c r="C63" s="20">
        <v>6.2569417389320842E-4</v>
      </c>
      <c r="D63" s="19"/>
      <c r="E63" s="19"/>
      <c r="F63" s="19"/>
      <c r="G63" s="19"/>
      <c r="T63" s="24"/>
      <c r="U63" s="24"/>
      <c r="V63" s="24"/>
      <c r="W63" s="24"/>
      <c r="X63" s="44">
        <f t="shared" si="33"/>
        <v>8.5</v>
      </c>
      <c r="Y63" s="45">
        <f>(Y62+Y64)/2</f>
        <v>4.19E-2</v>
      </c>
      <c r="Z63" s="43">
        <f t="shared" si="30"/>
        <v>0.70178802905490778</v>
      </c>
      <c r="AA63" s="43">
        <f t="shared" si="31"/>
        <v>14.234461620290801</v>
      </c>
      <c r="AB63" s="46">
        <f t="shared" si="34"/>
        <v>4.2541656506924319E-2</v>
      </c>
      <c r="AC63" s="42">
        <f t="shared" si="32"/>
        <v>4.1661632172531986E-2</v>
      </c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</row>
    <row r="64" spans="1:84" x14ac:dyDescent="0.35">
      <c r="A64" s="19">
        <v>25</v>
      </c>
      <c r="B64" s="21">
        <f t="shared" si="29"/>
        <v>-0.11675352257270105</v>
      </c>
      <c r="C64" s="20">
        <v>5.9868408841266818E-4</v>
      </c>
      <c r="D64" s="19"/>
      <c r="E64" s="19"/>
      <c r="F64" s="19"/>
      <c r="G64" s="19"/>
      <c r="T64" s="24"/>
      <c r="U64" s="24"/>
      <c r="V64" s="24"/>
      <c r="W64" s="24"/>
      <c r="X64" s="44">
        <f t="shared" si="33"/>
        <v>9</v>
      </c>
      <c r="Y64" s="45">
        <f>(Y62+Y66)/2</f>
        <v>4.2066666666666669E-2</v>
      </c>
      <c r="Z64" s="43">
        <f t="shared" si="30"/>
        <v>0.68616939432589552</v>
      </c>
      <c r="AA64" s="43">
        <f t="shared" si="31"/>
        <v>14.920631014616697</v>
      </c>
      <c r="AB64" s="46">
        <f t="shared" si="34"/>
        <v>4.2735826155480661E-2</v>
      </c>
      <c r="AC64" s="42">
        <f t="shared" si="32"/>
        <v>4.1847861248261134E-2</v>
      </c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</row>
    <row r="65" spans="1:84" x14ac:dyDescent="0.35">
      <c r="A65" s="19">
        <v>25.5</v>
      </c>
      <c r="B65" s="21">
        <f t="shared" si="29"/>
        <v>-0.13961841993776036</v>
      </c>
      <c r="C65" s="20">
        <v>5.7577203659838622E-4</v>
      </c>
      <c r="D65" s="19"/>
      <c r="E65" s="19"/>
      <c r="F65" s="19"/>
      <c r="G65" s="19"/>
      <c r="T65" s="24"/>
      <c r="U65" s="24"/>
      <c r="V65" s="24"/>
      <c r="W65" s="24"/>
      <c r="X65" s="44">
        <f t="shared" si="33"/>
        <v>9.5</v>
      </c>
      <c r="Y65" s="45">
        <f>(Y64+Y66)/2</f>
        <v>4.2233333333333331E-2</v>
      </c>
      <c r="Z65" s="43">
        <f t="shared" si="30"/>
        <v>0.67076175599393872</v>
      </c>
      <c r="AA65" s="43">
        <f t="shared" si="31"/>
        <v>15.591392770610636</v>
      </c>
      <c r="AB65" s="46">
        <f t="shared" si="34"/>
        <v>4.2931942739068418E-2</v>
      </c>
      <c r="AC65" s="42">
        <f t="shared" si="32"/>
        <v>4.2035922441026947E-2</v>
      </c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</row>
    <row r="66" spans="1:84" x14ac:dyDescent="0.35">
      <c r="A66" s="19">
        <v>26</v>
      </c>
      <c r="B66" s="21">
        <f t="shared" si="29"/>
        <v>-0.11644311579623096</v>
      </c>
      <c r="C66" s="20">
        <v>5.5672589808917344E-4</v>
      </c>
      <c r="D66" s="19"/>
      <c r="E66" s="19"/>
      <c r="F66" s="19"/>
      <c r="G66" s="19"/>
      <c r="T66" s="24"/>
      <c r="U66" s="24"/>
      <c r="V66" s="24"/>
      <c r="W66" s="24"/>
      <c r="X66" s="44">
        <f t="shared" si="33"/>
        <v>10</v>
      </c>
      <c r="Y66" s="45">
        <f>V53</f>
        <v>4.24E-2</v>
      </c>
      <c r="Z66" s="43">
        <f t="shared" si="30"/>
        <v>0.65556450574133807</v>
      </c>
      <c r="AA66" s="43">
        <f t="shared" si="31"/>
        <v>16.246957276351974</v>
      </c>
      <c r="AB66" s="46">
        <f t="shared" si="34"/>
        <v>4.3130050755919802E-2</v>
      </c>
      <c r="AC66" s="42">
        <f t="shared" si="32"/>
        <v>4.2225857369197553E-2</v>
      </c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</row>
    <row r="67" spans="1:84" x14ac:dyDescent="0.35">
      <c r="A67" s="19">
        <v>26.5</v>
      </c>
      <c r="B67" s="21">
        <f t="shared" si="29"/>
        <v>-0.13930847894692067</v>
      </c>
      <c r="C67" s="20">
        <v>5.4132245339955087E-4</v>
      </c>
      <c r="D67" s="19"/>
      <c r="E67" s="19"/>
      <c r="F67" s="19"/>
      <c r="G67" s="19"/>
      <c r="T67" s="24"/>
      <c r="U67" s="24"/>
      <c r="V67" s="24"/>
      <c r="W67" s="24"/>
      <c r="X67" s="44">
        <f t="shared" si="33"/>
        <v>10.5</v>
      </c>
      <c r="Y67" s="45">
        <f>Y66+(Y76-Y66)/10</f>
        <v>4.2555000000000003E-2</v>
      </c>
      <c r="Z67" s="43">
        <f t="shared" si="30"/>
        <v>0.6406734374863059</v>
      </c>
      <c r="AA67" s="43">
        <f t="shared" si="31"/>
        <v>16.887630713838281</v>
      </c>
      <c r="AB67" s="46">
        <f t="shared" si="34"/>
        <v>4.3315238413484058E-2</v>
      </c>
      <c r="AC67" s="42">
        <f t="shared" si="32"/>
        <v>4.2403372359896663E-2</v>
      </c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</row>
    <row r="68" spans="1:84" x14ac:dyDescent="0.35">
      <c r="A68" s="19">
        <v>27</v>
      </c>
      <c r="B68" s="21">
        <f t="shared" si="29"/>
        <v>-0.11613450712700846</v>
      </c>
      <c r="C68" s="20">
        <v>5.2934699433938165E-4</v>
      </c>
      <c r="D68" s="19"/>
      <c r="E68" s="19"/>
      <c r="F68" s="19"/>
      <c r="G68" s="19"/>
      <c r="T68" s="24"/>
      <c r="U68" s="24"/>
      <c r="V68" s="24"/>
      <c r="W68" s="24"/>
      <c r="X68" s="44">
        <f t="shared" si="33"/>
        <v>11</v>
      </c>
      <c r="Y68" s="45">
        <f>Y66+2*(Y76-Y66)/10</f>
        <v>4.2709999999999998E-2</v>
      </c>
      <c r="Z68" s="43">
        <f t="shared" si="30"/>
        <v>0.62599649103982802</v>
      </c>
      <c r="AA68" s="43">
        <f t="shared" si="31"/>
        <v>17.513627204878109</v>
      </c>
      <c r="AB68" s="46">
        <f t="shared" si="34"/>
        <v>4.3502427599244387E-2</v>
      </c>
      <c r="AC68" s="42">
        <f t="shared" si="32"/>
        <v>4.2582773933221511E-2</v>
      </c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</row>
    <row r="69" spans="1:84" x14ac:dyDescent="0.35">
      <c r="A69" s="19">
        <v>27.5</v>
      </c>
      <c r="B69" s="21">
        <f t="shared" si="29"/>
        <v>-0.13900201988460953</v>
      </c>
      <c r="C69" s="20">
        <v>5.2059299799332021E-4</v>
      </c>
      <c r="D69" s="19"/>
      <c r="E69" s="19"/>
      <c r="F69" s="19"/>
      <c r="G69" s="19"/>
      <c r="T69" s="24"/>
      <c r="U69" s="24"/>
      <c r="V69" s="24"/>
      <c r="W69" s="24"/>
      <c r="X69" s="44">
        <f t="shared" si="33"/>
        <v>11.5</v>
      </c>
      <c r="Y69" s="45">
        <f>Y66+3*(Y76-Y66)/10</f>
        <v>4.2865E-2</v>
      </c>
      <c r="Z69" s="43">
        <f t="shared" si="30"/>
        <v>0.61153251431832245</v>
      </c>
      <c r="AA69" s="43">
        <f t="shared" si="31"/>
        <v>18.125159719196432</v>
      </c>
      <c r="AB69" s="46">
        <f t="shared" si="34"/>
        <v>4.3691659295897356E-2</v>
      </c>
      <c r="AC69" s="42">
        <f t="shared" si="32"/>
        <v>4.2764100335360704E-2</v>
      </c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</row>
    <row r="70" spans="1:84" x14ac:dyDescent="0.35">
      <c r="A70" s="19">
        <v>28</v>
      </c>
      <c r="B70" s="21">
        <f t="shared" si="29"/>
        <v>-0.11583097135771858</v>
      </c>
      <c r="C70" s="20">
        <v>5.1486178517113484E-4</v>
      </c>
      <c r="D70" s="19"/>
      <c r="E70" s="19"/>
      <c r="F70" s="19"/>
      <c r="G70" s="19"/>
      <c r="T70" s="24"/>
      <c r="U70" s="24"/>
      <c r="V70" s="24"/>
      <c r="W70" s="24"/>
      <c r="X70" s="44">
        <f t="shared" si="33"/>
        <v>12</v>
      </c>
      <c r="Y70" s="45">
        <f>Y66+4*(Y76-Y66)/10</f>
        <v>4.3020000000000003E-2</v>
      </c>
      <c r="Z70" s="43">
        <f t="shared" si="30"/>
        <v>0.5972803148672895</v>
      </c>
      <c r="AA70" s="43">
        <f t="shared" si="31"/>
        <v>18.722440034063723</v>
      </c>
      <c r="AB70" s="46">
        <f t="shared" si="34"/>
        <v>4.3882979650418541E-2</v>
      </c>
      <c r="AC70" s="42">
        <f t="shared" si="32"/>
        <v>4.2947394720612868E-2</v>
      </c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</row>
    <row r="71" spans="1:84" x14ac:dyDescent="0.35">
      <c r="A71" s="19">
        <v>28.5</v>
      </c>
      <c r="B71" s="21">
        <f t="shared" si="29"/>
        <v>-0.138702136350566</v>
      </c>
      <c r="C71" s="20">
        <v>5.1196222485186405E-4</v>
      </c>
      <c r="D71" s="19"/>
      <c r="E71" s="19"/>
      <c r="F71" s="19"/>
      <c r="G71" s="19"/>
      <c r="T71" s="24"/>
      <c r="U71" s="24"/>
      <c r="V71" s="24"/>
      <c r="W71" s="24"/>
      <c r="X71" s="44">
        <f t="shared" si="33"/>
        <v>12.5</v>
      </c>
      <c r="Y71" s="45">
        <f>Y66+5*(Y76-Y66)/10</f>
        <v>4.3175000000000005E-2</v>
      </c>
      <c r="Z71" s="43">
        <f t="shared" si="30"/>
        <v>0.58323866116671286</v>
      </c>
      <c r="AA71" s="43">
        <f t="shared" si="31"/>
        <v>19.305678695230437</v>
      </c>
      <c r="AB71" s="46">
        <f t="shared" si="34"/>
        <v>4.4076439533113687E-2</v>
      </c>
      <c r="AC71" s="42">
        <f t="shared" si="32"/>
        <v>4.3132704723739659E-2</v>
      </c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</row>
    <row r="72" spans="1:84" x14ac:dyDescent="0.35">
      <c r="A72" s="19">
        <v>29</v>
      </c>
      <c r="B72" s="21">
        <f t="shared" si="29"/>
        <v>-0.11553542187264604</v>
      </c>
      <c r="C72" s="20">
        <v>5.117104897597452E-4</v>
      </c>
      <c r="D72" s="19"/>
      <c r="E72" s="19"/>
      <c r="F72" s="19"/>
      <c r="G72" s="19"/>
      <c r="T72" s="24"/>
      <c r="U72" s="24"/>
      <c r="V72" s="24"/>
      <c r="W72" s="24"/>
      <c r="X72" s="44">
        <f t="shared" si="33"/>
        <v>13</v>
      </c>
      <c r="Y72" s="45">
        <f>Y66+6*(Y76-Y66)/10</f>
        <v>4.333E-2</v>
      </c>
      <c r="Z72" s="43">
        <f t="shared" si="30"/>
        <v>0.56940628392656345</v>
      </c>
      <c r="AA72" s="43">
        <f t="shared" si="31"/>
        <v>19.875084979157002</v>
      </c>
      <c r="AB72" s="46">
        <f t="shared" si="34"/>
        <v>4.4272094235272119E-2</v>
      </c>
      <c r="AC72" s="42">
        <f t="shared" si="32"/>
        <v>4.3320082165356488E-2</v>
      </c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</row>
    <row r="73" spans="1:84" x14ac:dyDescent="0.35">
      <c r="A73" s="19">
        <v>29.5</v>
      </c>
      <c r="B73" s="21">
        <f t="shared" si="29"/>
        <v>-0.1384115648217365</v>
      </c>
      <c r="C73" s="20">
        <v>5.1392975864388013E-4</v>
      </c>
      <c r="D73" s="19"/>
      <c r="E73" s="19"/>
      <c r="F73" s="19"/>
      <c r="G73" s="19"/>
      <c r="T73" s="24"/>
      <c r="U73" s="24"/>
      <c r="V73" s="24"/>
      <c r="W73" s="24"/>
      <c r="X73" s="44">
        <f t="shared" si="33"/>
        <v>13.5</v>
      </c>
      <c r="Y73" s="45">
        <f>Y66+7*(Y76-Y66)/10</f>
        <v>4.3485000000000003E-2</v>
      </c>
      <c r="Z73" s="43">
        <f t="shared" si="30"/>
        <v>0.55578187737191986</v>
      </c>
      <c r="AA73" s="43">
        <f t="shared" si="31"/>
        <v>20.430866856528922</v>
      </c>
      <c r="AB73" s="46">
        <f t="shared" si="34"/>
        <v>4.4470003272264913E-2</v>
      </c>
      <c r="AC73" s="42">
        <f t="shared" si="32"/>
        <v>4.3509582858449435E-2</v>
      </c>
      <c r="AD73" s="24"/>
      <c r="AE73" s="24"/>
      <c r="AF73" s="24"/>
      <c r="AG73" s="24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</row>
    <row r="74" spans="1:84" x14ac:dyDescent="0.35">
      <c r="A74" s="19">
        <v>30</v>
      </c>
      <c r="B74" s="21">
        <f t="shared" si="29"/>
        <v>-0.11525042752845677</v>
      </c>
      <c r="C74" s="20">
        <v>5.1845000476678782E-4</v>
      </c>
      <c r="D74" s="19"/>
      <c r="E74" s="19"/>
      <c r="F74" s="19"/>
      <c r="G74" s="19"/>
      <c r="T74" s="24"/>
      <c r="U74" s="24"/>
      <c r="V74" s="24"/>
      <c r="W74" s="24"/>
      <c r="X74" s="44">
        <f t="shared" si="33"/>
        <v>14</v>
      </c>
      <c r="Y74" s="45">
        <f>Y66+8*(Y76-Y66)/10</f>
        <v>4.3640000000000005E-2</v>
      </c>
      <c r="Z74" s="43">
        <f t="shared" si="30"/>
        <v>0.54236410051725237</v>
      </c>
      <c r="AA74" s="43">
        <f t="shared" si="31"/>
        <v>20.973230957046177</v>
      </c>
      <c r="AB74" s="46">
        <f t="shared" si="34"/>
        <v>4.4670230268652134E-2</v>
      </c>
      <c r="AC74" s="42">
        <f t="shared" si="32"/>
        <v>4.3701266493454564E-2</v>
      </c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</row>
    <row r="75" spans="1:84" x14ac:dyDescent="0.35">
      <c r="T75" s="24"/>
      <c r="U75" s="24"/>
      <c r="V75" s="24"/>
      <c r="W75" s="24"/>
      <c r="X75" s="44">
        <f t="shared" si="33"/>
        <v>14.5</v>
      </c>
      <c r="Y75" s="45">
        <f>Y66+9*(Y76-Y66)/10</f>
        <v>4.3795000000000001E-2</v>
      </c>
      <c r="Z75" s="43">
        <f t="shared" si="30"/>
        <v>0.52915157842942318</v>
      </c>
      <c r="AA75" s="43">
        <f t="shared" si="31"/>
        <v>21.502382535475601</v>
      </c>
      <c r="AB75" s="46">
        <f t="shared" si="34"/>
        <v>4.4872842908591171E-2</v>
      </c>
      <c r="AC75" s="42">
        <f t="shared" si="32"/>
        <v>4.3895196585803375E-2</v>
      </c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</row>
    <row r="76" spans="1:84" x14ac:dyDescent="0.35">
      <c r="T76" s="24"/>
      <c r="U76" s="24"/>
      <c r="V76" s="24"/>
      <c r="W76" s="24"/>
      <c r="X76" s="44">
        <f t="shared" si="33"/>
        <v>15</v>
      </c>
      <c r="Y76" s="45">
        <f>(Y66+Y86)/2</f>
        <v>4.3950000000000003E-2</v>
      </c>
      <c r="Z76" s="43">
        <f t="shared" si="30"/>
        <v>0.51614290347897318</v>
      </c>
      <c r="AA76" s="43">
        <f t="shared" si="31"/>
        <v>22.018525438954573</v>
      </c>
      <c r="AB76" s="46">
        <f t="shared" si="34"/>
        <v>4.5077912939584186E-2</v>
      </c>
      <c r="AC76" s="42">
        <f t="shared" si="32"/>
        <v>4.4091440474399612E-2</v>
      </c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</row>
    <row r="77" spans="1:84" x14ac:dyDescent="0.35">
      <c r="T77" s="24"/>
      <c r="U77" s="24"/>
      <c r="V77" s="24"/>
      <c r="W77" s="24"/>
      <c r="X77" s="44">
        <f t="shared" si="33"/>
        <v>15.5</v>
      </c>
      <c r="Y77" s="45">
        <f>Y76+(Y86-Y76)/10</f>
        <v>4.4105000000000005E-2</v>
      </c>
      <c r="Z77" s="43">
        <f t="shared" si="30"/>
        <v>0.5033366365792894</v>
      </c>
      <c r="AA77" s="43">
        <f t="shared" si="31"/>
        <v>22.521862075533861</v>
      </c>
      <c r="AB77" s="46">
        <f t="shared" si="34"/>
        <v>4.5285516220984423E-2</v>
      </c>
      <c r="AC77" s="42">
        <f t="shared" si="32"/>
        <v>4.4290069362741928E-2</v>
      </c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</row>
    <row r="78" spans="1:84" x14ac:dyDescent="0.35">
      <c r="T78" s="24"/>
      <c r="U78" s="24"/>
      <c r="V78" s="24"/>
      <c r="W78" s="24"/>
      <c r="X78" s="44">
        <f t="shared" si="33"/>
        <v>16</v>
      </c>
      <c r="Y78" s="45">
        <f>Y76+2*(Y86-Y76)/10</f>
        <v>4.4260000000000001E-2</v>
      </c>
      <c r="Z78" s="43">
        <f t="shared" si="30"/>
        <v>0.49073130841325052</v>
      </c>
      <c r="AA78" s="43">
        <f t="shared" si="31"/>
        <v>23.01259338394711</v>
      </c>
      <c r="AB78" s="46">
        <f t="shared" si="34"/>
        <v>4.549573281116559E-2</v>
      </c>
      <c r="AC78" s="42">
        <f t="shared" si="32"/>
        <v>4.4491158396792574E-2</v>
      </c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</row>
    <row r="79" spans="1:84" x14ac:dyDescent="0.35">
      <c r="T79" s="24"/>
      <c r="U79" s="24"/>
      <c r="V79" s="24"/>
      <c r="W79" s="24"/>
      <c r="X79" s="44">
        <f t="shared" si="33"/>
        <v>16.5</v>
      </c>
      <c r="Y79" s="45">
        <f>Y76+3*(Y86-Y76)/10</f>
        <v>4.4415000000000003E-2</v>
      </c>
      <c r="Z79" s="43">
        <f t="shared" si="30"/>
        <v>0.47832542064697681</v>
      </c>
      <c r="AA79" s="43">
        <f t="shared" si="31"/>
        <v>23.490918804594088</v>
      </c>
      <c r="AB79" s="46">
        <f t="shared" si="34"/>
        <v>4.5708647089081511E-2</v>
      </c>
      <c r="AC79" s="42">
        <f t="shared" si="32"/>
        <v>4.4694786775441794E-2</v>
      </c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</row>
    <row r="80" spans="1:84" x14ac:dyDescent="0.35">
      <c r="T80" s="24"/>
      <c r="U80" s="24"/>
      <c r="V80" s="24"/>
      <c r="W80" s="24"/>
      <c r="X80" s="44">
        <f t="shared" si="33"/>
        <v>17</v>
      </c>
      <c r="Y80" s="45">
        <f>Y76+4*(Y86-Y76)/10</f>
        <v>4.4569999999999999E-2</v>
      </c>
      <c r="Z80" s="43">
        <f t="shared" si="30"/>
        <v>0.46611744713032149</v>
      </c>
      <c r="AA80" s="43">
        <f t="shared" si="31"/>
        <v>23.957036251724411</v>
      </c>
      <c r="AB80" s="46">
        <f t="shared" si="34"/>
        <v>4.5924347907339014E-2</v>
      </c>
      <c r="AC80" s="42">
        <f t="shared" si="32"/>
        <v>4.490103789075519E-2</v>
      </c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</row>
    <row r="81" spans="20:84" x14ac:dyDescent="0.35">
      <c r="T81" s="24"/>
      <c r="U81" s="24"/>
      <c r="V81" s="24"/>
      <c r="W81" s="24"/>
      <c r="X81" s="44">
        <f t="shared" si="33"/>
        <v>17.5</v>
      </c>
      <c r="Y81" s="45">
        <f>Y76+5*(Y86-Y76)/10</f>
        <v>4.4725000000000001E-2</v>
      </c>
      <c r="Z81" s="43">
        <f t="shared" si="30"/>
        <v>0.45410583508375246</v>
      </c>
      <c r="AA81" s="43">
        <f t="shared" si="31"/>
        <v>24.411142086808162</v>
      </c>
      <c r="AB81" s="46">
        <f t="shared" si="34"/>
        <v>4.6142928774975722E-2</v>
      </c>
      <c r="AC81" s="42">
        <f t="shared" si="32"/>
        <v>4.5109999496214366E-2</v>
      </c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</row>
    <row r="82" spans="20:84" x14ac:dyDescent="0.35">
      <c r="T82" s="24"/>
      <c r="U82" s="24"/>
      <c r="V82" s="24"/>
      <c r="W82" s="24"/>
      <c r="X82" s="44">
        <f t="shared" si="33"/>
        <v>18</v>
      </c>
      <c r="Y82" s="45">
        <f>Y76+6*(Y86-Y76)/10</f>
        <v>4.4880000000000003E-2</v>
      </c>
      <c r="Z82" s="43">
        <f t="shared" si="30"/>
        <v>0.44228900627129691</v>
      </c>
      <c r="AA82" s="43">
        <f t="shared" si="31"/>
        <v>24.853431093079458</v>
      </c>
      <c r="AB82" s="46">
        <f t="shared" si="34"/>
        <v>4.6364488068993959E-2</v>
      </c>
      <c r="AC82" s="42">
        <f t="shared" si="32"/>
        <v>4.5321763901982039E-2</v>
      </c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</row>
    <row r="83" spans="20:84" x14ac:dyDescent="0.35">
      <c r="T83" s="24"/>
      <c r="U83" s="24"/>
      <c r="V83" s="24"/>
      <c r="W83" s="24"/>
      <c r="X83" s="44">
        <f t="shared" si="33"/>
        <v>18.5</v>
      </c>
      <c r="Y83" s="45">
        <f>Y76+7*(Y86-Y76)/10</f>
        <v>4.5034999999999999E-2</v>
      </c>
      <c r="Z83" s="43">
        <f t="shared" si="30"/>
        <v>0.43066535815923279</v>
      </c>
      <c r="AA83" s="43">
        <f t="shared" si="31"/>
        <v>25.284096451238689</v>
      </c>
      <c r="AB83" s="46">
        <f t="shared" si="34"/>
        <v>4.6589129274391405E-2</v>
      </c>
      <c r="AC83" s="42">
        <f t="shared" si="32"/>
        <v>4.5536428196879523E-2</v>
      </c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</row>
    <row r="84" spans="20:84" x14ac:dyDescent="0.35">
      <c r="T84" s="24"/>
      <c r="U84" s="24"/>
      <c r="V84" s="24"/>
      <c r="W84" s="24"/>
      <c r="X84" s="44">
        <f t="shared" si="33"/>
        <v>19</v>
      </c>
      <c r="Y84" s="45">
        <f>Y76+8*(Y86-Y76)/10</f>
        <v>4.5190000000000001E-2</v>
      </c>
      <c r="Z84" s="43">
        <f t="shared" si="30"/>
        <v>0.41923326506022601</v>
      </c>
      <c r="AA84" s="43">
        <f t="shared" si="31"/>
        <v>25.703329716298914</v>
      </c>
      <c r="AB84" s="46">
        <f t="shared" si="34"/>
        <v>4.6816961253033806E-2</v>
      </c>
      <c r="AC84" s="42">
        <f t="shared" si="32"/>
        <v>4.5754094497338728E-2</v>
      </c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</row>
    <row r="85" spans="20:84" x14ac:dyDescent="0.35">
      <c r="T85" s="24"/>
      <c r="U85" s="24"/>
      <c r="V85" s="24"/>
      <c r="W85" s="24"/>
      <c r="X85" s="44">
        <f t="shared" si="33"/>
        <v>19.5</v>
      </c>
      <c r="Y85" s="45">
        <f>Y76+9*(Y86-Y76)/10</f>
        <v>4.5344999999999996E-2</v>
      </c>
      <c r="Z85" s="43">
        <f t="shared" si="30"/>
        <v>0.4079910792626309</v>
      </c>
      <c r="AA85" s="43">
        <f t="shared" si="31"/>
        <v>26.111320795561543</v>
      </c>
      <c r="AB85" s="46">
        <f t="shared" si="34"/>
        <v>4.7048098542222805E-2</v>
      </c>
      <c r="AC85" s="42">
        <f t="shared" si="32"/>
        <v>4.5974870224071027E-2</v>
      </c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</row>
    <row r="86" spans="20:84" x14ac:dyDescent="0.35">
      <c r="T86" s="24"/>
      <c r="U86" s="24"/>
      <c r="V86" s="24"/>
      <c r="W86" s="24"/>
      <c r="X86" s="44">
        <f t="shared" si="33"/>
        <v>20</v>
      </c>
      <c r="Y86" s="45">
        <f>V54</f>
        <v>4.5499999999999999E-2</v>
      </c>
      <c r="Z86" s="43">
        <f t="shared" si="30"/>
        <v>0.3969371321446834</v>
      </c>
      <c r="AA86" s="43">
        <f t="shared" si="31"/>
        <v>26.508257927706225</v>
      </c>
      <c r="AB86" s="46">
        <f t="shared" si="34"/>
        <v>4.7282661684292515E-2</v>
      </c>
      <c r="AC86" s="42">
        <f t="shared" si="32"/>
        <v>4.6198868407648405E-2</v>
      </c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</row>
    <row r="87" spans="20:84" x14ac:dyDescent="0.35">
      <c r="T87" s="24"/>
      <c r="U87" s="24"/>
      <c r="V87" s="24"/>
      <c r="W87" s="24"/>
      <c r="X87" s="44">
        <f t="shared" si="33"/>
        <v>20.5</v>
      </c>
      <c r="Y87" s="45">
        <f>Y86+(Y96-Y86)/10</f>
        <v>4.548E-2</v>
      </c>
      <c r="Z87" s="43">
        <f t="shared" si="30"/>
        <v>0.38837066578403157</v>
      </c>
      <c r="AA87" s="43">
        <f t="shared" si="31"/>
        <v>26.896628593490256</v>
      </c>
      <c r="AB87" s="46">
        <f t="shared" si="34"/>
        <v>4.721718398432051E-2</v>
      </c>
      <c r="AC87" s="42">
        <f t="shared" si="32"/>
        <v>4.6136344936826723E-2</v>
      </c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</row>
    <row r="88" spans="20:84" x14ac:dyDescent="0.35">
      <c r="T88" s="24"/>
      <c r="U88" s="24"/>
      <c r="V88" s="24"/>
      <c r="W88" s="24"/>
      <c r="X88" s="44">
        <f t="shared" si="33"/>
        <v>21</v>
      </c>
      <c r="Y88" s="45">
        <f>Y86+2*(Y96-Y86)/10</f>
        <v>4.546E-2</v>
      </c>
      <c r="Z88" s="43">
        <f t="shared" si="30"/>
        <v>0.38000218246259176</v>
      </c>
      <c r="AA88" s="43">
        <f t="shared" si="31"/>
        <v>27.276630775952846</v>
      </c>
      <c r="AB88" s="46">
        <f t="shared" si="34"/>
        <v>4.7153108185437942E-2</v>
      </c>
      <c r="AC88" s="42">
        <f t="shared" si="32"/>
        <v>4.6075156331218517E-2</v>
      </c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</row>
    <row r="89" spans="20:84" x14ac:dyDescent="0.35">
      <c r="T89" s="24"/>
      <c r="U89" s="24"/>
      <c r="V89" s="24"/>
      <c r="W89" s="24"/>
      <c r="X89" s="44">
        <f t="shared" si="33"/>
        <v>21.5</v>
      </c>
      <c r="Y89" s="45">
        <f>Y86+3*(Y96-Y86)/10</f>
        <v>4.5440000000000001E-2</v>
      </c>
      <c r="Z89" s="43">
        <f t="shared" si="30"/>
        <v>0.37182703845661691</v>
      </c>
      <c r="AA89" s="43">
        <f t="shared" si="31"/>
        <v>27.648457814409461</v>
      </c>
      <c r="AB89" s="46">
        <f t="shared" si="34"/>
        <v>4.7090311181034572E-2</v>
      </c>
      <c r="AC89" s="42">
        <f t="shared" si="32"/>
        <v>4.6015185265924505E-2</v>
      </c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</row>
    <row r="90" spans="20:84" x14ac:dyDescent="0.35">
      <c r="T90" s="24"/>
      <c r="U90" s="24"/>
      <c r="V90" s="24"/>
      <c r="W90" s="24"/>
      <c r="X90" s="44">
        <f t="shared" si="33"/>
        <v>22</v>
      </c>
      <c r="Y90" s="45">
        <f>Y86+4*(Y96-Y86)/10</f>
        <v>4.5420000000000002E-2</v>
      </c>
      <c r="Z90" s="43">
        <f t="shared" si="30"/>
        <v>0.36384070072137864</v>
      </c>
      <c r="AA90" s="43">
        <f t="shared" si="31"/>
        <v>28.012298515130841</v>
      </c>
      <c r="AB90" s="46">
        <f t="shared" si="34"/>
        <v>4.7028680624519703E-2</v>
      </c>
      <c r="AC90" s="42">
        <f t="shared" si="32"/>
        <v>4.595632465984259E-2</v>
      </c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</row>
    <row r="91" spans="20:84" x14ac:dyDescent="0.35">
      <c r="T91" s="24"/>
      <c r="U91" s="24"/>
      <c r="V91" s="24"/>
      <c r="W91" s="24"/>
      <c r="X91" s="44">
        <f t="shared" si="33"/>
        <v>22.5</v>
      </c>
      <c r="Y91" s="45">
        <f>Y86+5*(Y96-Y86)/10</f>
        <v>4.5399999999999996E-2</v>
      </c>
      <c r="Z91" s="43">
        <f t="shared" si="30"/>
        <v>0.35603874421289722</v>
      </c>
      <c r="AA91" s="43">
        <f t="shared" si="31"/>
        <v>28.368337259343736</v>
      </c>
      <c r="AB91" s="46">
        <f t="shared" si="34"/>
        <v>4.6968113728484528E-2</v>
      </c>
      <c r="AC91" s="42">
        <f t="shared" si="32"/>
        <v>4.5898476533030363E-2</v>
      </c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</row>
    <row r="92" spans="20:84" x14ac:dyDescent="0.35">
      <c r="T92" s="24"/>
      <c r="U92" s="24"/>
      <c r="V92" s="24"/>
      <c r="W92" s="24"/>
      <c r="X92" s="44">
        <f t="shared" si="33"/>
        <v>23</v>
      </c>
      <c r="Y92" s="45">
        <f>Y86+6*(Y96-Y86)/10</f>
        <v>4.5379999999999997E-2</v>
      </c>
      <c r="Z92" s="43">
        <f t="shared" si="30"/>
        <v>0.34841684927543115</v>
      </c>
      <c r="AA92" s="43">
        <f t="shared" si="31"/>
        <v>28.716754108619167</v>
      </c>
      <c r="AB92" s="46">
        <f t="shared" si="34"/>
        <v>4.6908516220681706E-2</v>
      </c>
      <c r="AC92" s="42">
        <f t="shared" si="32"/>
        <v>4.5841551013191727E-2</v>
      </c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</row>
    <row r="93" spans="20:84" x14ac:dyDescent="0.35">
      <c r="T93" s="24"/>
      <c r="U93" s="24"/>
      <c r="V93" s="24"/>
      <c r="W93" s="24"/>
      <c r="X93" s="44">
        <f t="shared" si="33"/>
        <v>23.5</v>
      </c>
      <c r="Y93" s="45">
        <f>Y86+7*(Y96-Y86)/10</f>
        <v>4.5359999999999998E-2</v>
      </c>
      <c r="Z93" s="43">
        <f t="shared" si="30"/>
        <v>0.34097079909308609</v>
      </c>
      <c r="AA93" s="43">
        <f t="shared" si="31"/>
        <v>29.057724907712252</v>
      </c>
      <c r="AB93" s="46">
        <f t="shared" si="34"/>
        <v>4.6849801433458405E-2</v>
      </c>
      <c r="AC93" s="42">
        <f t="shared" si="32"/>
        <v>4.57854654690832E-2</v>
      </c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</row>
    <row r="94" spans="20:84" x14ac:dyDescent="0.35">
      <c r="T94" s="24"/>
      <c r="U94" s="24"/>
      <c r="V94" s="24"/>
      <c r="W94" s="24"/>
      <c r="X94" s="44">
        <f t="shared" si="33"/>
        <v>24</v>
      </c>
      <c r="Y94" s="45">
        <f>Y86+8*(Y96-Y86)/10</f>
        <v>4.5339999999999998E-2</v>
      </c>
      <c r="Z94" s="43">
        <f t="shared" si="30"/>
        <v>0.33369647720394974</v>
      </c>
      <c r="AA94" s="43">
        <f t="shared" si="31"/>
        <v>29.391421384916203</v>
      </c>
      <c r="AB94" s="46">
        <f t="shared" si="34"/>
        <v>4.6791889507182161E-2</v>
      </c>
      <c r="AC94" s="42">
        <f t="shared" si="32"/>
        <v>4.5730143752342842E-2</v>
      </c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</row>
    <row r="95" spans="20:84" x14ac:dyDescent="0.35">
      <c r="T95" s="24"/>
      <c r="U95" s="24"/>
      <c r="V95" s="24"/>
      <c r="W95" s="24"/>
      <c r="X95" s="44">
        <f t="shared" si="33"/>
        <v>24.5</v>
      </c>
      <c r="Y95" s="45">
        <f>Y86+9*(Y96-Y86)/10</f>
        <v>4.5319999999999999E-2</v>
      </c>
      <c r="Z95" s="43">
        <f t="shared" si="30"/>
        <v>0.32658986507519494</v>
      </c>
      <c r="AA95" s="43">
        <f t="shared" si="31"/>
        <v>29.718011249991399</v>
      </c>
      <c r="AB95" s="46">
        <f t="shared" si="34"/>
        <v>4.6734706691368588E-2</v>
      </c>
      <c r="AC95" s="42">
        <f t="shared" si="32"/>
        <v>4.5675515532255621E-2</v>
      </c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</row>
    <row r="96" spans="20:84" x14ac:dyDescent="0.35">
      <c r="T96" s="24"/>
      <c r="U96" s="24"/>
      <c r="V96" s="24"/>
      <c r="W96" s="24"/>
      <c r="X96" s="44">
        <f t="shared" si="33"/>
        <v>25</v>
      </c>
      <c r="Y96" s="45">
        <f>(Y86+Y106)/2</f>
        <v>4.53E-2</v>
      </c>
      <c r="Z96" s="43">
        <f t="shared" si="30"/>
        <v>0.31964703973763736</v>
      </c>
      <c r="AA96" s="43">
        <f t="shared" si="31"/>
        <v>30.037658289729038</v>
      </c>
      <c r="AB96" s="46">
        <f t="shared" si="34"/>
        <v>4.6678184729834538E-2</v>
      </c>
      <c r="AC96" s="42">
        <f t="shared" si="32"/>
        <v>4.5621515710453225E-2</v>
      </c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</row>
    <row r="97" spans="20:84" x14ac:dyDescent="0.35">
      <c r="T97" s="24"/>
      <c r="U97" s="24"/>
      <c r="V97" s="24"/>
      <c r="W97" s="24"/>
      <c r="X97" s="44">
        <f t="shared" si="33"/>
        <v>25.5</v>
      </c>
      <c r="Y97" s="45">
        <f>Y96+(Y106-Y96)/10</f>
        <v>4.5280000000000001E-2</v>
      </c>
      <c r="Z97" s="43">
        <f t="shared" si="30"/>
        <v>0.31286417147826662</v>
      </c>
      <c r="AA97" s="43">
        <f t="shared" si="31"/>
        <v>30.350522461207305</v>
      </c>
      <c r="AB97" s="46">
        <f t="shared" si="34"/>
        <v>4.662226031834904E-2</v>
      </c>
      <c r="AC97" s="42">
        <f t="shared" si="32"/>
        <v>4.5568083904587907E-2</v>
      </c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</row>
    <row r="98" spans="20:84" x14ac:dyDescent="0.35">
      <c r="T98" s="24"/>
      <c r="U98" s="24"/>
      <c r="V98" s="24"/>
      <c r="W98" s="24"/>
      <c r="X98" s="44">
        <f t="shared" si="33"/>
        <v>26</v>
      </c>
      <c r="Y98" s="45">
        <f>Y96+2*(Y106-Y96)/10</f>
        <v>4.5260000000000002E-2</v>
      </c>
      <c r="Z98" s="43">
        <f t="shared" si="30"/>
        <v>0.30623752158931261</v>
      </c>
      <c r="AA98" s="43">
        <f t="shared" si="31"/>
        <v>30.656759982796618</v>
      </c>
      <c r="AB98" s="46">
        <f t="shared" si="34"/>
        <v>4.6566874625020294E-2</v>
      </c>
      <c r="AC98" s="42">
        <f t="shared" si="32"/>
        <v>4.5515163991697978E-2</v>
      </c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</row>
    <row r="99" spans="20:84" x14ac:dyDescent="0.35">
      <c r="T99" s="24"/>
      <c r="U99" s="24"/>
      <c r="V99" s="24"/>
      <c r="W99" s="24"/>
      <c r="X99" s="44">
        <f t="shared" si="33"/>
        <v>26.5</v>
      </c>
      <c r="Y99" s="45">
        <f>Y96+3*(Y106-Y96)/10</f>
        <v>4.5240000000000002E-2</v>
      </c>
      <c r="Z99" s="43">
        <f t="shared" si="30"/>
        <v>0.29976344017243983</v>
      </c>
      <c r="AA99" s="43">
        <f t="shared" si="31"/>
        <v>30.95652342296906</v>
      </c>
      <c r="AB99" s="46">
        <f t="shared" si="34"/>
        <v>4.6511972865142193E-2</v>
      </c>
      <c r="AC99" s="42">
        <f t="shared" si="32"/>
        <v>4.5462703703394433E-2</v>
      </c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</row>
    <row r="100" spans="20:84" x14ac:dyDescent="0.35">
      <c r="T100" s="24"/>
      <c r="U100" s="24"/>
      <c r="V100" s="24"/>
      <c r="W100" s="24"/>
      <c r="X100" s="44">
        <f t="shared" si="33"/>
        <v>27</v>
      </c>
      <c r="Y100" s="45">
        <f>Y96+4*(Y106-Y96)/10</f>
        <v>4.5220000000000003E-2</v>
      </c>
      <c r="Z100" s="43">
        <f t="shared" si="30"/>
        <v>0.29343836399670398</v>
      </c>
      <c r="AA100" s="43">
        <f t="shared" si="31"/>
        <v>31.249961786965763</v>
      </c>
      <c r="AB100" s="46">
        <f t="shared" si="34"/>
        <v>4.6457503923441168E-2</v>
      </c>
      <c r="AC100" s="42">
        <f t="shared" si="32"/>
        <v>4.5410654266154767E-2</v>
      </c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</row>
    <row r="101" spans="20:84" x14ac:dyDescent="0.35">
      <c r="T101" s="24"/>
      <c r="U101" s="24"/>
      <c r="V101" s="24"/>
      <c r="W101" s="24"/>
      <c r="X101" s="44">
        <f t="shared" si="33"/>
        <v>27.5</v>
      </c>
      <c r="Y101" s="45">
        <f>Y96+5*(Y106-Y96)/10</f>
        <v>4.5200000000000004E-2</v>
      </c>
      <c r="Z101" s="43">
        <f t="shared" si="30"/>
        <v>0.28725881440893186</v>
      </c>
      <c r="AA101" s="43">
        <f t="shared" si="31"/>
        <v>31.537220601374695</v>
      </c>
      <c r="AB101" s="46">
        <f t="shared" si="34"/>
        <v>4.640342001769926E-2</v>
      </c>
      <c r="AC101" s="42">
        <f t="shared" si="32"/>
        <v>4.535897008099439E-2</v>
      </c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</row>
    <row r="102" spans="20:84" x14ac:dyDescent="0.35">
      <c r="T102" s="24"/>
      <c r="U102" s="24"/>
      <c r="V102" s="24"/>
      <c r="W102" s="24"/>
      <c r="X102" s="44">
        <f t="shared" si="33"/>
        <v>28</v>
      </c>
      <c r="Y102" s="45">
        <f>Y96+6*(Y106-Y96)/10</f>
        <v>4.5179999999999998E-2</v>
      </c>
      <c r="Z102" s="43">
        <f t="shared" si="30"/>
        <v>0.2812213952952265</v>
      </c>
      <c r="AA102" s="43">
        <f t="shared" si="31"/>
        <v>31.818441996669922</v>
      </c>
      <c r="AB102" s="46">
        <f t="shared" si="34"/>
        <v>4.6349676398587558E-2</v>
      </c>
      <c r="AC102" s="42">
        <f t="shared" si="32"/>
        <v>4.5307608437601725E-2</v>
      </c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</row>
    <row r="103" spans="20:84" x14ac:dyDescent="0.35">
      <c r="T103" s="24"/>
      <c r="U103" s="24"/>
      <c r="V103" s="24"/>
      <c r="W103" s="24"/>
      <c r="X103" s="44">
        <f t="shared" si="33"/>
        <v>28.5</v>
      </c>
      <c r="Y103" s="45">
        <f>Y96+7*(Y106-Y96)/10</f>
        <v>4.5159999999999999E-2</v>
      </c>
      <c r="Z103" s="43">
        <f t="shared" si="30"/>
        <v>0.27532279109232838</v>
      </c>
      <c r="AA103" s="43">
        <f t="shared" si="31"/>
        <v>32.093764787762247</v>
      </c>
      <c r="AB103" s="46">
        <f t="shared" si="34"/>
        <v>4.6296231081266237E-2</v>
      </c>
      <c r="AC103" s="42">
        <f t="shared" si="32"/>
        <v>4.5256529258709675E-2</v>
      </c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</row>
    <row r="104" spans="20:84" x14ac:dyDescent="0.35">
      <c r="T104" s="24"/>
      <c r="U104" s="24"/>
      <c r="V104" s="24"/>
      <c r="W104" s="24"/>
      <c r="X104" s="44">
        <f t="shared" si="33"/>
        <v>29</v>
      </c>
      <c r="Y104" s="45">
        <f>Y96+8*(Y106-Y96)/10</f>
        <v>4.514E-2</v>
      </c>
      <c r="Z104" s="43">
        <f t="shared" si="30"/>
        <v>0.26955976484759592</v>
      </c>
      <c r="AA104" s="43">
        <f t="shared" si="31"/>
        <v>32.363324552609839</v>
      </c>
      <c r="AB104" s="46">
        <f t="shared" si="34"/>
        <v>4.6243044604929118E-2</v>
      </c>
      <c r="AC104" s="42">
        <f t="shared" si="32"/>
        <v>4.5205694871067292E-2</v>
      </c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</row>
    <row r="105" spans="20:84" x14ac:dyDescent="0.35">
      <c r="T105" s="24"/>
      <c r="U105" s="24"/>
      <c r="V105" s="24"/>
      <c r="W105" s="24"/>
      <c r="X105" s="44">
        <f t="shared" si="33"/>
        <v>29.5</v>
      </c>
      <c r="Y105" s="45">
        <f>Y96+9*(Y106-Y96)/10</f>
        <v>4.512E-2</v>
      </c>
      <c r="Z105" s="43">
        <f t="shared" si="30"/>
        <v>0.26392915632639846</v>
      </c>
      <c r="AA105" s="43">
        <f t="shared" si="31"/>
        <v>32.627253708936237</v>
      </c>
      <c r="AB105" s="46">
        <f t="shared" si="34"/>
        <v>4.6190079816980534E-2</v>
      </c>
      <c r="AC105" s="42">
        <f t="shared" si="32"/>
        <v>4.5155069799860267E-2</v>
      </c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</row>
    <row r="106" spans="20:84" x14ac:dyDescent="0.35">
      <c r="T106" s="24"/>
      <c r="U106" s="24"/>
      <c r="V106" s="24"/>
      <c r="W106" s="24"/>
      <c r="X106" s="44">
        <f t="shared" si="33"/>
        <v>30</v>
      </c>
      <c r="Y106" s="45">
        <f>V55</f>
        <v>4.5100000000000001E-2</v>
      </c>
      <c r="Z106" s="43">
        <f t="shared" si="30"/>
        <v>0.25842788016575019</v>
      </c>
      <c r="AA106" s="43">
        <f t="shared" si="31"/>
        <v>32.885681589101985</v>
      </c>
      <c r="AB106" s="46">
        <f t="shared" si="34"/>
        <v>4.6137301678981668E-2</v>
      </c>
      <c r="AC106" s="42">
        <f t="shared" si="32"/>
        <v>4.5104620583856295E-2</v>
      </c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</row>
    <row r="107" spans="20:84" x14ac:dyDescent="0.35">
      <c r="T107" s="24"/>
      <c r="U107" s="24"/>
      <c r="V107" s="24"/>
      <c r="W107" s="24"/>
      <c r="X107" s="24"/>
      <c r="Y107" s="25"/>
      <c r="Z107" s="24"/>
      <c r="AA107" s="24"/>
      <c r="AB107" s="26"/>
      <c r="AC107" s="27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</row>
    <row r="108" spans="20:84" x14ac:dyDescent="0.35">
      <c r="T108" s="24"/>
      <c r="U108" s="24"/>
      <c r="V108" s="24"/>
      <c r="W108" s="24"/>
      <c r="X108" s="24"/>
      <c r="Y108" s="25"/>
      <c r="Z108" s="24"/>
      <c r="AA108" s="24"/>
      <c r="AB108" s="26"/>
      <c r="AC108" s="27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</row>
    <row r="109" spans="20:84" x14ac:dyDescent="0.35">
      <c r="T109" s="24"/>
      <c r="U109" s="24"/>
      <c r="V109" s="24"/>
      <c r="W109" s="24"/>
      <c r="X109" s="24"/>
      <c r="Y109" s="25"/>
      <c r="Z109" s="24"/>
      <c r="AA109" s="24"/>
      <c r="AB109" s="26"/>
      <c r="AC109" s="27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</row>
    <row r="110" spans="20:84" x14ac:dyDescent="0.35"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</row>
    <row r="111" spans="20:84" x14ac:dyDescent="0.35"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</row>
    <row r="112" spans="20:84" x14ac:dyDescent="0.35"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</row>
  </sheetData>
  <mergeCells count="1">
    <mergeCell ref="M3:O3"/>
  </mergeCells>
  <conditionalFormatting sqref="S35:S37">
    <cfRule type="cellIs" dxfId="0" priority="1" operator="equal">
      <formula>"No Negative State Variables!"</formula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DDD49CF30E994ABD402320E4D353BA" ma:contentTypeVersion="16" ma:contentTypeDescription="Create a new document." ma:contentTypeScope="" ma:versionID="691353be455e64076abb677d1a70b5e6">
  <xsd:schema xmlns:xsd="http://www.w3.org/2001/XMLSchema" xmlns:xs="http://www.w3.org/2001/XMLSchema" xmlns:p="http://schemas.microsoft.com/office/2006/metadata/properties" xmlns:ns2="4382f072-888d-48b6-86fe-b575ba63f538" xmlns:ns3="05f35472-6fd3-40c3-a4d9-7367f3d7c682" targetNamespace="http://schemas.microsoft.com/office/2006/metadata/properties" ma:root="true" ma:fieldsID="8f165385aef9f67b079578e8239aa6b7" ns2:_="" ns3:_="">
    <xsd:import namespace="4382f072-888d-48b6-86fe-b575ba63f538"/>
    <xsd:import namespace="05f35472-6fd3-40c3-a4d9-7367f3d7c6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82f072-888d-48b6-86fe-b575ba63f5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f7c9a646-0553-43db-880a-739f1e04f5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35472-6fd3-40c3-a4d9-7367f3d7c68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0f99e88-298a-416e-9cfe-88bc0843c011}" ma:internalName="TaxCatchAll" ma:showField="CatchAllData" ma:web="05f35472-6fd3-40c3-a4d9-7367f3d7c68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382f072-888d-48b6-86fe-b575ba63f538">
      <Terms xmlns="http://schemas.microsoft.com/office/infopath/2007/PartnerControls"/>
    </lcf76f155ced4ddcb4097134ff3c332f>
    <TaxCatchAll xmlns="05f35472-6fd3-40c3-a4d9-7367f3d7c682" xsi:nil="true"/>
  </documentManagement>
</p:properties>
</file>

<file path=customXml/itemProps1.xml><?xml version="1.0" encoding="utf-8"?>
<ds:datastoreItem xmlns:ds="http://schemas.openxmlformats.org/officeDocument/2006/customXml" ds:itemID="{33C67EC4-7897-4958-BCAE-5BDD506F62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AA28E-E5EB-42C0-90E7-9C74C3F4C5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382f072-888d-48b6-86fe-b575ba63f538"/>
    <ds:schemaRef ds:uri="05f35472-6fd3-40c3-a4d9-7367f3d7c6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680E463-C031-49BD-BAA8-80D939792CF8}">
  <ds:schemaRefs>
    <ds:schemaRef ds:uri="http://schemas.microsoft.com/office/2006/metadata/properties"/>
    <ds:schemaRef ds:uri="http://purl.org/dc/dcmitype/"/>
    <ds:schemaRef ds:uri="05f35472-6fd3-40c3-a4d9-7367f3d7c682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4382f072-888d-48b6-86fe-b575ba63f53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24</vt:i4>
      </vt:variant>
    </vt:vector>
  </HeadingPairs>
  <TitlesOfParts>
    <vt:vector size="26" baseType="lpstr">
      <vt:lpstr>Tsy Recalibration</vt:lpstr>
      <vt:lpstr>Treasury Curve</vt:lpstr>
      <vt:lpstr>CIR1_Gam_Kap</vt:lpstr>
      <vt:lpstr>CIR1_Gamma</vt:lpstr>
      <vt:lpstr>CIR1_Kappa</vt:lpstr>
      <vt:lpstr>CIR1_Sigma</vt:lpstr>
      <vt:lpstr>CIR1_Theta</vt:lpstr>
      <vt:lpstr>CIR2_Gam_Kap</vt:lpstr>
      <vt:lpstr>CIR2_Gamma</vt:lpstr>
      <vt:lpstr>CIR2_Kappa</vt:lpstr>
      <vt:lpstr>CIR2_Sigma</vt:lpstr>
      <vt:lpstr>CIR2_Theta</vt:lpstr>
      <vt:lpstr>CIR3_Gam_Kap</vt:lpstr>
      <vt:lpstr>CIR3_Gamma</vt:lpstr>
      <vt:lpstr>CIR3_Kappa</vt:lpstr>
      <vt:lpstr>CIR3_Sigma</vt:lpstr>
      <vt:lpstr>CIR3_Theta</vt:lpstr>
      <vt:lpstr>DisplayStateVariables</vt:lpstr>
      <vt:lpstr>Shift</vt:lpstr>
      <vt:lpstr>StateVar1</vt:lpstr>
      <vt:lpstr>StateVar2</vt:lpstr>
      <vt:lpstr>StateVar3</vt:lpstr>
      <vt:lpstr>StateVariable1</vt:lpstr>
      <vt:lpstr>StateVariable2</vt:lpstr>
      <vt:lpstr>StateVariable3</vt:lpstr>
      <vt:lpstr>TsyRecalChartTitle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Tarek Ammouri</dc:creator>
  <cp:lastModifiedBy>Daniel Finn</cp:lastModifiedBy>
  <dcterms:created xsi:type="dcterms:W3CDTF">2025-04-11T14:25:09Z</dcterms:created>
  <dcterms:modified xsi:type="dcterms:W3CDTF">2025-05-19T13:55:44Z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0x01010087DDD49CF30E994ABD402320E4D353BA</vt:lpwstr>
  </property>
</Properties>
</file>